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hautauqua Charter School\Financial Statements\CLS Financials 23-24\05 November 23\"/>
    </mc:Choice>
  </mc:AlternateContent>
  <xr:revisionPtr revIDLastSave="0" documentId="8_{BBEB08D3-0C24-4D30-8C1B-8E7412BE471A}" xr6:coauthVersionLast="47" xr6:coauthVersionMax="47" xr10:uidLastSave="{00000000-0000-0000-0000-000000000000}"/>
  <bookViews>
    <workbookView xWindow="28680" yWindow="-120" windowWidth="29040" windowHeight="15720" xr2:uid="{C2AEEF7D-59CE-4D18-92A9-36C5CF493F22}"/>
  </bookViews>
  <sheets>
    <sheet name="Dist BS" sheetId="1" r:id="rId1"/>
    <sheet name="Dist RE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grp1">[2]SUMMARY!#REF!</definedName>
    <definedName name="_1.__2009_10_FEFP_State_and_Local_Funding">#REF!</definedName>
    <definedName name="_1.__2010_11_FEFP_State_and_Local_Funding">#REF!</definedName>
    <definedName name="_1_0g">[3]SUMMARY!#REF!</definedName>
    <definedName name="_101_Basic_K_3">#REF!</definedName>
    <definedName name="_102_Basic_4_8">#REF!</definedName>
    <definedName name="_103_Basic_9_12">#REF!</definedName>
    <definedName name="_111_Basic_K_3_with_ESE_Services">#REF!</definedName>
    <definedName name="_112_Basic_4_8_with_ESE_Services">#REF!</definedName>
    <definedName name="_113_Basic_9_12_with_ESE_Services">#REF!</definedName>
    <definedName name="_130_ESOL__Grade_Level_4_8">#REF!</definedName>
    <definedName name="_130_ESOL__Grade_Level_9_12">#REF!</definedName>
    <definedName name="_130_ESOL__Grade_Level_PK_3">#REF!</definedName>
    <definedName name="_2.__ESE_Guaranteed_Allocation">#REF!</definedName>
    <definedName name="_2010_11_Base_Funding_WFTE_x_BSA_x_DCD">#REF!</definedName>
    <definedName name="_254_ESE_Level_4__Grade_Level_4_8">#REF!</definedName>
    <definedName name="_254_ESE_Level_4__Grade_Level_9_12">#REF!</definedName>
    <definedName name="_254_ESE_Level_4__Grade_Level_PK_3">#REF!</definedName>
    <definedName name="_255_ESE_Level_5__Grade_Level_4_8">#REF!</definedName>
    <definedName name="_255_ESE_Level_5__Grade_Level_9_12">#REF!</definedName>
    <definedName name="_255_ESE_Level_5__Grade_Level_PK_3">#REF!</definedName>
    <definedName name="_2g">[3]SUMMARY!#REF!</definedName>
    <definedName name="_3.__Supplemental_Academic_Instruction">#REF!</definedName>
    <definedName name="_300_Career_Education__Grades_9_12">#REF!</definedName>
    <definedName name="_4_8">#REF!</definedName>
    <definedName name="_9_12">#REF!</definedName>
    <definedName name="_Add_On_FTE">#REF!</definedName>
    <definedName name="_grp1">[4]SUMMARY!#REF!</definedName>
    <definedName name="Actual_Additional_.25_Discretionary_Revenue">'[5] Detail 2016-17 Second FEFP'!#REF!</definedName>
    <definedName name="Add_On_FTE">#REF!</definedName>
    <definedName name="Allocation_factors">#REF!</definedName>
    <definedName name="ARRA_State_Fiscal_Stabilization">'[5] Detail 2016-17 Second FEFP'!#REF!</definedName>
    <definedName name="Base_Student_Allocation">#REF!</definedName>
    <definedName name="Based_on_the_Second_Calculation_of_the_FEFP_2010_11">#REF!</definedName>
    <definedName name="CAP" hidden="1">{#N/A,#N/A,FALSE,"Summation";#N/A,#N/A,FALSE,"BSA";#N/A,#N/A,FALSE,"Detail1";#N/A,#N/A,FALSE,"Detail2";#N/A,#N/A,FALSE,"Detail3";#N/A,#N/A,FALSE,"WFTE_Summary";#N/A,#N/A,FALSE,"Funded_WFTE";#N/A,#N/A,FALSE,"PYADJ96"}</definedName>
    <definedName name="d_grp1">[3]SUMMARY!#REF!</definedName>
    <definedName name="DCD">#REF!</definedName>
    <definedName name="Discretionary_Tax_Compression_0.25_mills">'[5] Detail 2016-17 Second FEFP'!#REF!</definedName>
    <definedName name="District_Cost_Differential">#REF!</definedName>
    <definedName name="District_SAI_Allocation">#REF!</definedName>
    <definedName name="divided_by_district_FTE">#REF!</definedName>
    <definedName name="EnrNew">'[6]Rev Input'!$J$51</definedName>
    <definedName name="EnrOld">'[6]Rev Input'!$J$50</definedName>
    <definedName name="Equal_Percent_Adjustment">'[5] Detail 2016-17 Second FEFP'!#REF!</definedName>
    <definedName name="ExpInf">#REF!</definedName>
    <definedName name="FTE">#REF!</definedName>
    <definedName name="Grade_Level">#REF!</definedName>
    <definedName name="GSFA">[7]Data!#REF!</definedName>
    <definedName name="Guarantee_Per_Student">#REF!</definedName>
    <definedName name="HTML_CodePage" hidden="1">1252</definedName>
    <definedName name="HTML_Control" hidden="1">{"'AssumptionsHTML'!$B$9:$E$357","'SummationHTML'!$A$4:$J$93","'Difference'!$A$11:$K$101","'DifferenceFTE'!$A$11:$K$101","'Detail1'!$A$11:$I$97","'Detail2'!$A$11:$J$97","'Detail3'!$A$11:$J$97","'Categorical1'!$A$11:$L$97"}</definedName>
    <definedName name="HTML_Description" hidden="1">""</definedName>
    <definedName name="HTML_Email" hidden="1">""</definedName>
    <definedName name="HTML_Header" hidden="1">""</definedName>
    <definedName name="HTML_LastUpdate" hidden="1">"9/4/97"</definedName>
    <definedName name="HTML_LineAfter" hidden="1">FALSE</definedName>
    <definedName name="HTML_LineBefore" hidden="1">FALSE</definedName>
    <definedName name="HTML_Name" hidden="1">"David Montford"</definedName>
    <definedName name="HTML_OBDlg2" hidden="1">TRUE</definedName>
    <definedName name="HTML_OBDlg4" hidden="1">TRUE</definedName>
    <definedName name="HTML_OS" hidden="1">0</definedName>
    <definedName name="HTML_PathFile" hidden="1">"H:\XLFILES\test.htm"</definedName>
    <definedName name="HTML_Title" hidden="1">""</definedName>
    <definedName name="Inf">'[6]Rev Input'!$J$52</definedName>
    <definedName name="InfPayroll">'[8]Payroll Input'!$D$260</definedName>
    <definedName name="Matrix_Level">#REF!</definedName>
    <definedName name="Mgr">[7]Data!#REF!</definedName>
    <definedName name="Number_of_FTE">#REF!</definedName>
    <definedName name="Per_Student">#REF!</definedName>
    <definedName name="PK___3">#REF!</definedName>
    <definedName name="PRACTICE" hidden="1">{#N/A,#N/A,FALSE,"Summation";#N/A,#N/A,FALSE,"BSA";#N/A,#N/A,FALSE,"Detail1";#N/A,#N/A,FALSE,"Detail2";#N/A,#N/A,FALSE,"Detail3";#N/A,#N/A,FALSE,"WFTE_Summary";#N/A,#N/A,FALSE,"Funded_WFTE";#N/A,#N/A,FALSE,"PYADJ96"}</definedName>
    <definedName name="PRACTOCE" hidden="1">{#N/A,#N/A,FALSE,"Summation";#N/A,#N/A,FALSE,"BSA";#N/A,#N/A,FALSE,"Detail1";#N/A,#N/A,FALSE,"Detail2";#N/A,#N/A,FALSE,"Detail3";#N/A,#N/A,FALSE,"WFTE_Summary";#N/A,#N/A,FALSE,"Funded_WFTE";#N/A,#N/A,FALSE,"PYADJ96"}</definedName>
    <definedName name="PRInf">'[6]Rev Input'!$J$53</definedName>
    <definedName name="print">'[9]Forecast WS'!$A$6:$R$142</definedName>
    <definedName name="_xlnm.Print_Area" localSheetId="1">'Dist RE'!$A$1:$AB$60</definedName>
    <definedName name="_xlnm.Print_Titles" localSheetId="1">'Dist RE'!$1:$4</definedName>
    <definedName name="Program">#REF!</definedName>
    <definedName name="Program______________________________Cost_Factor">#REF!</definedName>
    <definedName name="Proratioin_to_Veto">'[5] Detail 2016-17 Second FEFP'!#REF!</definedName>
    <definedName name="Proration_to_the_Appropriation">'[5] Detail 2016-17 Second FEFP'!#REF!</definedName>
    <definedName name="Revenue_Estimate_Worksheet_for___________Charter_School">#REF!</definedName>
    <definedName name="RevInf">#REF!</definedName>
    <definedName name="School_District">#REF!</definedName>
    <definedName name="Science_Lab_Materials_Allocation">'[5] Detail 2016-17 Second FEFP'!#REF!</definedName>
    <definedName name="Total">#REF!</definedName>
    <definedName name="Total_Class_Size_Reduction_Funds">#REF!</definedName>
    <definedName name="Total_from_ESE_Guarantee">#REF!</definedName>
    <definedName name="Total_FTE_with_ESE_Services">#REF!</definedName>
    <definedName name="Totals">#REF!</definedName>
    <definedName name="Weighted_FTE____________b__x__c">#REF!</definedName>
    <definedName name="Weighted_FTE__From_Section_1">#REF!</definedName>
    <definedName name="wrn.Base._.Data._.Comparison." hidden="1">{#N/A,#N/A,FALSE,"Summation";#N/A,#N/A,FALSE,"BSA";#N/A,#N/A,FALSE,"Detail1";#N/A,#N/A,FALSE,"Detail2";#N/A,#N/A,FALSE,"Detail3";#N/A,#N/A,FALSE,"WFTE_Summary";#N/A,#N/A,FALSE,"Funded_WFTE";#N/A,#N/A,FALSE,"PYADJ96"}</definedName>
    <definedName name="wrn.SecondCalc9798.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8" i="2" l="1"/>
  <c r="R58" i="2" s="1"/>
  <c r="AA56" i="2"/>
  <c r="V56" i="2"/>
  <c r="U56" i="2"/>
  <c r="T56" i="2"/>
  <c r="Q56" i="2"/>
  <c r="R56" i="2" s="1"/>
  <c r="P56" i="2"/>
  <c r="O56" i="2"/>
  <c r="L56" i="2"/>
  <c r="M56" i="2" s="1"/>
  <c r="K56" i="2"/>
  <c r="J56" i="2"/>
  <c r="G56" i="2"/>
  <c r="F56" i="2"/>
  <c r="E56" i="2"/>
  <c r="AA55" i="2"/>
  <c r="AB55" i="2" s="1"/>
  <c r="Z55" i="2"/>
  <c r="Z56" i="2" s="1"/>
  <c r="Y55" i="2"/>
  <c r="W55" i="2"/>
  <c r="R55" i="2"/>
  <c r="M55" i="2"/>
  <c r="H55" i="2"/>
  <c r="AA54" i="2"/>
  <c r="AB54" i="2" s="1"/>
  <c r="Z54" i="2"/>
  <c r="Y54" i="2"/>
  <c r="W54" i="2"/>
  <c r="R54" i="2"/>
  <c r="M54" i="2"/>
  <c r="H54" i="2"/>
  <c r="R53" i="2"/>
  <c r="W51" i="2"/>
  <c r="U51" i="2"/>
  <c r="T51" i="2"/>
  <c r="R51" i="2"/>
  <c r="M51" i="2"/>
  <c r="H51" i="2"/>
  <c r="AA50" i="2"/>
  <c r="AB50" i="2" s="1"/>
  <c r="W50" i="2"/>
  <c r="U50" i="2"/>
  <c r="T50" i="2"/>
  <c r="R50" i="2"/>
  <c r="P50" i="2"/>
  <c r="O50" i="2"/>
  <c r="M50" i="2"/>
  <c r="K50" i="2"/>
  <c r="J50" i="2"/>
  <c r="H50" i="2"/>
  <c r="F50" i="2"/>
  <c r="Z50" i="2" s="1"/>
  <c r="E50" i="2"/>
  <c r="AA49" i="2"/>
  <c r="U49" i="2"/>
  <c r="T49" i="2"/>
  <c r="P49" i="2"/>
  <c r="O49" i="2"/>
  <c r="K49" i="2"/>
  <c r="J49" i="2"/>
  <c r="F49" i="2"/>
  <c r="E49" i="2"/>
  <c r="AB48" i="2"/>
  <c r="AA48" i="2"/>
  <c r="AA51" i="2" s="1"/>
  <c r="AB51" i="2" s="1"/>
  <c r="W48" i="2"/>
  <c r="U48" i="2"/>
  <c r="T48" i="2"/>
  <c r="R48" i="2"/>
  <c r="P48" i="2"/>
  <c r="O48" i="2"/>
  <c r="M48" i="2"/>
  <c r="K48" i="2"/>
  <c r="J48" i="2"/>
  <c r="H48" i="2"/>
  <c r="F48" i="2"/>
  <c r="Z48" i="2" s="1"/>
  <c r="E48" i="2"/>
  <c r="V43" i="2"/>
  <c r="U43" i="2"/>
  <c r="T43" i="2"/>
  <c r="Q43" i="2"/>
  <c r="R43" i="2" s="1"/>
  <c r="P43" i="2"/>
  <c r="O43" i="2"/>
  <c r="L43" i="2"/>
  <c r="M43" i="2" s="1"/>
  <c r="K43" i="2"/>
  <c r="J43" i="2"/>
  <c r="G43" i="2"/>
  <c r="AA43" i="2" s="1"/>
  <c r="F43" i="2"/>
  <c r="E43" i="2"/>
  <c r="V42" i="2"/>
  <c r="W42" i="2" s="1"/>
  <c r="U42" i="2"/>
  <c r="T42" i="2"/>
  <c r="Q42" i="2"/>
  <c r="R42" i="2" s="1"/>
  <c r="P42" i="2"/>
  <c r="O42" i="2"/>
  <c r="L42" i="2"/>
  <c r="AA42" i="2" s="1"/>
  <c r="K42" i="2"/>
  <c r="J42" i="2"/>
  <c r="G42" i="2"/>
  <c r="H42" i="2" s="1"/>
  <c r="F42" i="2"/>
  <c r="E42" i="2"/>
  <c r="V41" i="2"/>
  <c r="W41" i="2" s="1"/>
  <c r="U41" i="2"/>
  <c r="T41" i="2"/>
  <c r="Q41" i="2"/>
  <c r="R41" i="2" s="1"/>
  <c r="P41" i="2"/>
  <c r="O41" i="2"/>
  <c r="L41" i="2"/>
  <c r="K41" i="2"/>
  <c r="J41" i="2"/>
  <c r="G41" i="2"/>
  <c r="H41" i="2" s="1"/>
  <c r="F41" i="2"/>
  <c r="Z41" i="2" s="1"/>
  <c r="E41" i="2"/>
  <c r="V40" i="2"/>
  <c r="W40" i="2" s="1"/>
  <c r="U40" i="2"/>
  <c r="T40" i="2"/>
  <c r="Q40" i="2"/>
  <c r="R40" i="2" s="1"/>
  <c r="P40" i="2"/>
  <c r="O40" i="2"/>
  <c r="L40" i="2"/>
  <c r="M40" i="2" s="1"/>
  <c r="K40" i="2"/>
  <c r="J40" i="2"/>
  <c r="G40" i="2"/>
  <c r="F40" i="2"/>
  <c r="E40" i="2"/>
  <c r="W39" i="2"/>
  <c r="V39" i="2"/>
  <c r="U39" i="2"/>
  <c r="T39" i="2"/>
  <c r="Q39" i="2"/>
  <c r="R39" i="2" s="1"/>
  <c r="P39" i="2"/>
  <c r="O39" i="2"/>
  <c r="L39" i="2"/>
  <c r="M39" i="2" s="1"/>
  <c r="K39" i="2"/>
  <c r="J39" i="2"/>
  <c r="G39" i="2"/>
  <c r="H39" i="2" s="1"/>
  <c r="F39" i="2"/>
  <c r="E39" i="2"/>
  <c r="V38" i="2"/>
  <c r="W38" i="2" s="1"/>
  <c r="U38" i="2"/>
  <c r="T38" i="2"/>
  <c r="Q38" i="2"/>
  <c r="R38" i="2" s="1"/>
  <c r="P38" i="2"/>
  <c r="O38" i="2"/>
  <c r="L38" i="2"/>
  <c r="M38" i="2" s="1"/>
  <c r="K38" i="2"/>
  <c r="J38" i="2"/>
  <c r="G38" i="2"/>
  <c r="AA38" i="2" s="1"/>
  <c r="F38" i="2"/>
  <c r="E38" i="2"/>
  <c r="V37" i="2"/>
  <c r="W37" i="2" s="1"/>
  <c r="U37" i="2"/>
  <c r="T37" i="2"/>
  <c r="Q37" i="2"/>
  <c r="R37" i="2" s="1"/>
  <c r="P37" i="2"/>
  <c r="O37" i="2"/>
  <c r="L37" i="2"/>
  <c r="M37" i="2" s="1"/>
  <c r="K37" i="2"/>
  <c r="J37" i="2"/>
  <c r="G37" i="2"/>
  <c r="F37" i="2"/>
  <c r="E37" i="2"/>
  <c r="V36" i="2"/>
  <c r="W36" i="2" s="1"/>
  <c r="U36" i="2"/>
  <c r="T36" i="2"/>
  <c r="Q36" i="2"/>
  <c r="R36" i="2" s="1"/>
  <c r="P36" i="2"/>
  <c r="O36" i="2"/>
  <c r="L36" i="2"/>
  <c r="K36" i="2"/>
  <c r="J36" i="2"/>
  <c r="G36" i="2"/>
  <c r="H36" i="2" s="1"/>
  <c r="F36" i="2"/>
  <c r="E36" i="2"/>
  <c r="V35" i="2"/>
  <c r="W35" i="2" s="1"/>
  <c r="U35" i="2"/>
  <c r="T35" i="2"/>
  <c r="Q35" i="2"/>
  <c r="R35" i="2" s="1"/>
  <c r="P35" i="2"/>
  <c r="O35" i="2"/>
  <c r="L35" i="2"/>
  <c r="M35" i="2" s="1"/>
  <c r="K35" i="2"/>
  <c r="Z35" i="2" s="1"/>
  <c r="J35" i="2"/>
  <c r="G35" i="2"/>
  <c r="H35" i="2" s="1"/>
  <c r="F35" i="2"/>
  <c r="E35" i="2"/>
  <c r="Y35" i="2" s="1"/>
  <c r="V34" i="2"/>
  <c r="W34" i="2" s="1"/>
  <c r="U34" i="2"/>
  <c r="T34" i="2"/>
  <c r="Q34" i="2"/>
  <c r="R34" i="2" s="1"/>
  <c r="P34" i="2"/>
  <c r="O34" i="2"/>
  <c r="M34" i="2"/>
  <c r="L34" i="2"/>
  <c r="K34" i="2"/>
  <c r="J34" i="2"/>
  <c r="G34" i="2"/>
  <c r="F34" i="2"/>
  <c r="E34" i="2"/>
  <c r="V33" i="2"/>
  <c r="W33" i="2" s="1"/>
  <c r="U33" i="2"/>
  <c r="T33" i="2"/>
  <c r="Q33" i="2"/>
  <c r="R33" i="2" s="1"/>
  <c r="P33" i="2"/>
  <c r="O33" i="2"/>
  <c r="L33" i="2"/>
  <c r="K33" i="2"/>
  <c r="J33" i="2"/>
  <c r="G33" i="2"/>
  <c r="H33" i="2" s="1"/>
  <c r="F33" i="2"/>
  <c r="E33" i="2"/>
  <c r="V32" i="2"/>
  <c r="W32" i="2" s="1"/>
  <c r="U32" i="2"/>
  <c r="T32" i="2"/>
  <c r="Q32" i="2"/>
  <c r="R32" i="2" s="1"/>
  <c r="P32" i="2"/>
  <c r="O32" i="2"/>
  <c r="L32" i="2"/>
  <c r="M32" i="2" s="1"/>
  <c r="K32" i="2"/>
  <c r="J32" i="2"/>
  <c r="G32" i="2"/>
  <c r="AA32" i="2" s="1"/>
  <c r="F32" i="2"/>
  <c r="E32" i="2"/>
  <c r="V31" i="2"/>
  <c r="W31" i="2" s="1"/>
  <c r="U31" i="2"/>
  <c r="T31" i="2"/>
  <c r="Q31" i="2"/>
  <c r="R31" i="2" s="1"/>
  <c r="P31" i="2"/>
  <c r="O31" i="2"/>
  <c r="L31" i="2"/>
  <c r="M31" i="2" s="1"/>
  <c r="K31" i="2"/>
  <c r="J31" i="2"/>
  <c r="G31" i="2"/>
  <c r="F31" i="2"/>
  <c r="E31" i="2"/>
  <c r="V30" i="2"/>
  <c r="W30" i="2" s="1"/>
  <c r="U30" i="2"/>
  <c r="T30" i="2"/>
  <c r="Q30" i="2"/>
  <c r="P30" i="2"/>
  <c r="O30" i="2"/>
  <c r="L30" i="2"/>
  <c r="AA30" i="2" s="1"/>
  <c r="K30" i="2"/>
  <c r="J30" i="2"/>
  <c r="G30" i="2"/>
  <c r="F30" i="2"/>
  <c r="E30" i="2"/>
  <c r="V25" i="2"/>
  <c r="W25" i="2" s="1"/>
  <c r="U25" i="2"/>
  <c r="T25" i="2"/>
  <c r="Q25" i="2"/>
  <c r="R25" i="2" s="1"/>
  <c r="P25" i="2"/>
  <c r="O25" i="2"/>
  <c r="L25" i="2"/>
  <c r="M25" i="2" s="1"/>
  <c r="K25" i="2"/>
  <c r="J25" i="2"/>
  <c r="G25" i="2"/>
  <c r="F25" i="2"/>
  <c r="Z25" i="2" s="1"/>
  <c r="E25" i="2"/>
  <c r="V24" i="2"/>
  <c r="W24" i="2" s="1"/>
  <c r="U24" i="2"/>
  <c r="T24" i="2"/>
  <c r="Q24" i="2"/>
  <c r="R24" i="2" s="1"/>
  <c r="P24" i="2"/>
  <c r="O24" i="2"/>
  <c r="L24" i="2"/>
  <c r="M24" i="2" s="1"/>
  <c r="K24" i="2"/>
  <c r="J24" i="2"/>
  <c r="G24" i="2"/>
  <c r="H24" i="2" s="1"/>
  <c r="F24" i="2"/>
  <c r="E24" i="2"/>
  <c r="V23" i="2"/>
  <c r="W23" i="2" s="1"/>
  <c r="U23" i="2"/>
  <c r="T23" i="2"/>
  <c r="Q23" i="2"/>
  <c r="R23" i="2" s="1"/>
  <c r="P23" i="2"/>
  <c r="O23" i="2"/>
  <c r="L23" i="2"/>
  <c r="M23" i="2" s="1"/>
  <c r="K23" i="2"/>
  <c r="J23" i="2"/>
  <c r="G23" i="2"/>
  <c r="AA23" i="2" s="1"/>
  <c r="F23" i="2"/>
  <c r="Z23" i="2" s="1"/>
  <c r="E23" i="2"/>
  <c r="V21" i="2"/>
  <c r="W21" i="2" s="1"/>
  <c r="U21" i="2"/>
  <c r="T21" i="2"/>
  <c r="Q21" i="2"/>
  <c r="R21" i="2" s="1"/>
  <c r="P21" i="2"/>
  <c r="O21" i="2"/>
  <c r="L21" i="2"/>
  <c r="M21" i="2" s="1"/>
  <c r="K21" i="2"/>
  <c r="J21" i="2"/>
  <c r="G21" i="2"/>
  <c r="F21" i="2"/>
  <c r="E21" i="2"/>
  <c r="V20" i="2"/>
  <c r="W20" i="2" s="1"/>
  <c r="U20" i="2"/>
  <c r="T20" i="2"/>
  <c r="Q20" i="2"/>
  <c r="R20" i="2" s="1"/>
  <c r="P20" i="2"/>
  <c r="O20" i="2"/>
  <c r="L20" i="2"/>
  <c r="K20" i="2"/>
  <c r="J20" i="2"/>
  <c r="G20" i="2"/>
  <c r="H20" i="2" s="1"/>
  <c r="F20" i="2"/>
  <c r="E20" i="2"/>
  <c r="Y19" i="2"/>
  <c r="V19" i="2"/>
  <c r="W19" i="2" s="1"/>
  <c r="U19" i="2"/>
  <c r="T19" i="2"/>
  <c r="Q19" i="2"/>
  <c r="R19" i="2" s="1"/>
  <c r="P19" i="2"/>
  <c r="O19" i="2"/>
  <c r="L19" i="2"/>
  <c r="M19" i="2" s="1"/>
  <c r="K19" i="2"/>
  <c r="J19" i="2"/>
  <c r="H19" i="2"/>
  <c r="G19" i="2"/>
  <c r="F19" i="2"/>
  <c r="E19" i="2"/>
  <c r="V18" i="2"/>
  <c r="U18" i="2"/>
  <c r="T18" i="2"/>
  <c r="Q18" i="2"/>
  <c r="R18" i="2" s="1"/>
  <c r="P18" i="2"/>
  <c r="O18" i="2"/>
  <c r="L18" i="2"/>
  <c r="M18" i="2" s="1"/>
  <c r="K18" i="2"/>
  <c r="J18" i="2"/>
  <c r="G18" i="2"/>
  <c r="F18" i="2"/>
  <c r="E18" i="2"/>
  <c r="V17" i="2"/>
  <c r="W17" i="2" s="1"/>
  <c r="U17" i="2"/>
  <c r="T17" i="2"/>
  <c r="Q17" i="2"/>
  <c r="R17" i="2" s="1"/>
  <c r="P17" i="2"/>
  <c r="O17" i="2"/>
  <c r="L17" i="2"/>
  <c r="K17" i="2"/>
  <c r="J17" i="2"/>
  <c r="G17" i="2"/>
  <c r="H17" i="2" s="1"/>
  <c r="F17" i="2"/>
  <c r="E17" i="2"/>
  <c r="Y17" i="2" s="1"/>
  <c r="V15" i="2"/>
  <c r="W15" i="2" s="1"/>
  <c r="U15" i="2"/>
  <c r="T15" i="2"/>
  <c r="Q15" i="2"/>
  <c r="R15" i="2" s="1"/>
  <c r="P15" i="2"/>
  <c r="O15" i="2"/>
  <c r="L15" i="2"/>
  <c r="K15" i="2"/>
  <c r="J15" i="2"/>
  <c r="G15" i="2"/>
  <c r="F15" i="2"/>
  <c r="E15" i="2"/>
  <c r="Y15" i="2" s="1"/>
  <c r="V14" i="2"/>
  <c r="U14" i="2"/>
  <c r="T14" i="2"/>
  <c r="Q14" i="2"/>
  <c r="P14" i="2"/>
  <c r="O14" i="2"/>
  <c r="L14" i="2"/>
  <c r="M14" i="2" s="1"/>
  <c r="K14" i="2"/>
  <c r="K26" i="2" s="1"/>
  <c r="J14" i="2"/>
  <c r="G14" i="2"/>
  <c r="F14" i="2"/>
  <c r="F26" i="2" s="1"/>
  <c r="E14" i="2"/>
  <c r="E7" i="2"/>
  <c r="A4" i="2"/>
  <c r="K44" i="2" l="1"/>
  <c r="H15" i="2"/>
  <c r="AA15" i="2"/>
  <c r="O44" i="2"/>
  <c r="Z15" i="2"/>
  <c r="Y36" i="2"/>
  <c r="J51" i="2"/>
  <c r="Z19" i="2"/>
  <c r="J26" i="2"/>
  <c r="Z32" i="2"/>
  <c r="AB32" i="2" s="1"/>
  <c r="Y31" i="2"/>
  <c r="H38" i="2"/>
  <c r="Z31" i="2"/>
  <c r="Y38" i="2"/>
  <c r="M30" i="2"/>
  <c r="H32" i="2"/>
  <c r="M42" i="2"/>
  <c r="J44" i="2"/>
  <c r="Y24" i="2"/>
  <c r="K51" i="2"/>
  <c r="Y20" i="2"/>
  <c r="Z49" i="2"/>
  <c r="Z51" i="2" s="1"/>
  <c r="Z21" i="2"/>
  <c r="AA36" i="2"/>
  <c r="AB36" i="2" s="1"/>
  <c r="O51" i="2"/>
  <c r="AA20" i="2"/>
  <c r="AB20" i="2" s="1"/>
  <c r="Y33" i="2"/>
  <c r="Z34" i="2"/>
  <c r="M36" i="2"/>
  <c r="Y41" i="2"/>
  <c r="P51" i="2"/>
  <c r="Z18" i="2"/>
  <c r="M20" i="2"/>
  <c r="Z42" i="2"/>
  <c r="AB42" i="2" s="1"/>
  <c r="AA17" i="2"/>
  <c r="AA33" i="2"/>
  <c r="M17" i="2"/>
  <c r="H23" i="2"/>
  <c r="Y30" i="2"/>
  <c r="M33" i="2"/>
  <c r="Y23" i="2"/>
  <c r="Z38" i="2"/>
  <c r="AB38" i="2" s="1"/>
  <c r="Z39" i="2"/>
  <c r="Y50" i="2"/>
  <c r="J45" i="2"/>
  <c r="J53" i="2" s="1"/>
  <c r="J58" i="2" s="1"/>
  <c r="K45" i="2"/>
  <c r="K53" i="2" s="1"/>
  <c r="K58" i="2" s="1"/>
  <c r="G26" i="2"/>
  <c r="AA14" i="2"/>
  <c r="H14" i="2"/>
  <c r="Z14" i="2"/>
  <c r="Z20" i="2"/>
  <c r="AA31" i="2"/>
  <c r="AB31" i="2" s="1"/>
  <c r="H31" i="2"/>
  <c r="AA18" i="2"/>
  <c r="H18" i="2"/>
  <c r="AA34" i="2"/>
  <c r="AB34" i="2" s="1"/>
  <c r="H34" i="2"/>
  <c r="Y37" i="2"/>
  <c r="P44" i="2"/>
  <c r="Z37" i="2"/>
  <c r="Y39" i="2"/>
  <c r="Y40" i="2"/>
  <c r="Y42" i="2"/>
  <c r="Y43" i="2"/>
  <c r="Y56" i="2"/>
  <c r="H56" i="2"/>
  <c r="AB56" i="2"/>
  <c r="O26" i="2"/>
  <c r="O45" i="2" s="1"/>
  <c r="O53" i="2" s="1"/>
  <c r="O58" i="2" s="1"/>
  <c r="AA21" i="2"/>
  <c r="AB21" i="2" s="1"/>
  <c r="H21" i="2"/>
  <c r="Y25" i="2"/>
  <c r="Q44" i="2"/>
  <c r="R30" i="2"/>
  <c r="AA37" i="2"/>
  <c r="AB37" i="2" s="1"/>
  <c r="H37" i="2"/>
  <c r="Z40" i="2"/>
  <c r="Z43" i="2"/>
  <c r="AB43" i="2" s="1"/>
  <c r="W43" i="2"/>
  <c r="Y49" i="2"/>
  <c r="Y32" i="2"/>
  <c r="AA39" i="2"/>
  <c r="AB39" i="2" s="1"/>
  <c r="AA40" i="2"/>
  <c r="H40" i="2"/>
  <c r="E51" i="2"/>
  <c r="Y48" i="2"/>
  <c r="L26" i="2"/>
  <c r="M41" i="2"/>
  <c r="AA41" i="2"/>
  <c r="AB41" i="2" s="1"/>
  <c r="Z36" i="2"/>
  <c r="P26" i="2"/>
  <c r="Q26" i="2"/>
  <c r="AB15" i="2"/>
  <c r="AA24" i="2"/>
  <c r="AB24" i="2" s="1"/>
  <c r="AB23" i="2"/>
  <c r="Y34" i="2"/>
  <c r="Y44" i="2" s="1"/>
  <c r="W18" i="2"/>
  <c r="W56" i="2"/>
  <c r="Y21" i="2"/>
  <c r="AA25" i="2"/>
  <c r="AB25" i="2" s="1"/>
  <c r="H25" i="2"/>
  <c r="E44" i="2"/>
  <c r="R14" i="2"/>
  <c r="T26" i="2"/>
  <c r="T45" i="2" s="1"/>
  <c r="T53" i="2" s="1"/>
  <c r="T58" i="2" s="1"/>
  <c r="Z17" i="2"/>
  <c r="G44" i="2"/>
  <c r="L44" i="2"/>
  <c r="V26" i="2"/>
  <c r="W14" i="2"/>
  <c r="Y18" i="2"/>
  <c r="Z24" i="2"/>
  <c r="U44" i="2"/>
  <c r="M15" i="2"/>
  <c r="F44" i="2"/>
  <c r="F45" i="2" s="1"/>
  <c r="Z30" i="2"/>
  <c r="E26" i="2"/>
  <c r="Y14" i="2"/>
  <c r="U26" i="2"/>
  <c r="AA19" i="2"/>
  <c r="AB19" i="2" s="1"/>
  <c r="H30" i="2"/>
  <c r="T44" i="2"/>
  <c r="Z33" i="2"/>
  <c r="AA35" i="2"/>
  <c r="AB35" i="2" s="1"/>
  <c r="V44" i="2"/>
  <c r="F51" i="2"/>
  <c r="H43" i="2"/>
  <c r="AB17" i="2" l="1"/>
  <c r="Z44" i="2"/>
  <c r="F53" i="2"/>
  <c r="F58" i="2" s="1"/>
  <c r="P45" i="2"/>
  <c r="P53" i="2" s="1"/>
  <c r="P58" i="2" s="1"/>
  <c r="AB18" i="2"/>
  <c r="AB33" i="2"/>
  <c r="H26" i="2"/>
  <c r="G45" i="2"/>
  <c r="L45" i="2"/>
  <c r="M26" i="2"/>
  <c r="Q45" i="2"/>
  <c r="R45" i="2" s="1"/>
  <c r="R26" i="2"/>
  <c r="Y51" i="2"/>
  <c r="U45" i="2"/>
  <c r="U53" i="2" s="1"/>
  <c r="U58" i="2" s="1"/>
  <c r="W26" i="2"/>
  <c r="V45" i="2"/>
  <c r="AA44" i="2"/>
  <c r="AB30" i="2"/>
  <c r="E45" i="2"/>
  <c r="E53" i="2" s="1"/>
  <c r="E58" i="2" s="1"/>
  <c r="F60" i="2" s="1"/>
  <c r="AB40" i="2"/>
  <c r="Z26" i="2"/>
  <c r="Z45" i="2" s="1"/>
  <c r="Z53" i="2" s="1"/>
  <c r="Z58" i="2" s="1"/>
  <c r="Y26" i="2"/>
  <c r="Y45" i="2" s="1"/>
  <c r="Y53" i="2" s="1"/>
  <c r="Y58" i="2" s="1"/>
  <c r="AA26" i="2"/>
  <c r="AB14" i="2"/>
  <c r="W45" i="2" l="1"/>
  <c r="V53" i="2"/>
  <c r="AA45" i="2"/>
  <c r="AB26" i="2"/>
  <c r="Z60" i="2"/>
  <c r="M45" i="2"/>
  <c r="L53" i="2"/>
  <c r="G53" i="2"/>
  <c r="H45" i="2"/>
  <c r="H53" i="2" l="1"/>
  <c r="G58" i="2"/>
  <c r="H58" i="2" s="1"/>
  <c r="M53" i="2"/>
  <c r="L58" i="2"/>
  <c r="M58" i="2" s="1"/>
  <c r="AB45" i="2"/>
  <c r="AA53" i="2"/>
  <c r="W53" i="2"/>
  <c r="V58" i="2"/>
  <c r="W58" i="2" s="1"/>
  <c r="AB53" i="2" l="1"/>
  <c r="AA58" i="2"/>
  <c r="AB58" i="2" s="1"/>
</calcChain>
</file>

<file path=xl/sharedStrings.xml><?xml version="1.0" encoding="utf-8"?>
<sst xmlns="http://schemas.openxmlformats.org/spreadsheetml/2006/main" count="122" uniqueCount="96">
  <si>
    <t>Chautauqua Learn &amp; Serve Charter School with MSID Number 0781</t>
  </si>
  <si>
    <t>Bay County, Florida</t>
  </si>
  <si>
    <t>Balance Sheet (Unaudited)</t>
  </si>
  <si>
    <t>Accounts</t>
  </si>
  <si>
    <t>General Fund</t>
  </si>
  <si>
    <t>Special Revenue Fund</t>
  </si>
  <si>
    <t>Debt Service</t>
  </si>
  <si>
    <t>Capital Outlay</t>
  </si>
  <si>
    <t>Total Governmental Funds</t>
  </si>
  <si>
    <t>ASSETS</t>
  </si>
  <si>
    <t>Cash and cash equivalents</t>
  </si>
  <si>
    <t>Investments</t>
  </si>
  <si>
    <t>Grant receivables</t>
  </si>
  <si>
    <t>Other current assets</t>
  </si>
  <si>
    <t>12XX</t>
  </si>
  <si>
    <t>Deposits</t>
  </si>
  <si>
    <t>Due from other funds</t>
  </si>
  <si>
    <t>Other long-term assets</t>
  </si>
  <si>
    <t>Total Assets</t>
  </si>
  <si>
    <t>LIABILITIES AND FUND BALANCE</t>
  </si>
  <si>
    <t>Liabilities</t>
  </si>
  <si>
    <t>Accounts payable</t>
  </si>
  <si>
    <t>Salaries, benefits, and payroll taxes payable</t>
  </si>
  <si>
    <t>2110, 2170, 2330</t>
  </si>
  <si>
    <t>Deferred revenue</t>
  </si>
  <si>
    <t>Notes/bonds payable</t>
  </si>
  <si>
    <t>2180, 2250, 2310, 2320</t>
  </si>
  <si>
    <t>Lease payable</t>
  </si>
  <si>
    <t>Other liabilities</t>
  </si>
  <si>
    <t>21XX, 22XX, 23XX</t>
  </si>
  <si>
    <t>Due to other funds</t>
  </si>
  <si>
    <t>Total Liabilities</t>
  </si>
  <si>
    <t>Fund Balance</t>
  </si>
  <si>
    <t>Nonspendable</t>
  </si>
  <si>
    <t>Restricted</t>
  </si>
  <si>
    <t>Committed</t>
  </si>
  <si>
    <t>Assigned</t>
  </si>
  <si>
    <t>Unassigned</t>
  </si>
  <si>
    <t>Total Fund Balance</t>
  </si>
  <si>
    <t>TOTAL LIABILITIES AND FUND BALANCE</t>
  </si>
  <si>
    <t>Statement of Revenue, Expenditures, and Changes in Fund Balance (Unaudited)</t>
  </si>
  <si>
    <t>FTE Projected</t>
  </si>
  <si>
    <t>FTE Actual</t>
  </si>
  <si>
    <t>Percent of Projected</t>
  </si>
  <si>
    <t>Special Revenue</t>
  </si>
  <si>
    <t>Account Number</t>
  </si>
  <si>
    <t>Month/ Quarter Actual</t>
  </si>
  <si>
    <t>YTD Actual</t>
  </si>
  <si>
    <t>Annual Budget</t>
  </si>
  <si>
    <t>% of YTD
Actual to
Annual Budget</t>
  </si>
  <si>
    <t>Revenues</t>
  </si>
  <si>
    <t xml:space="preserve">FEDERAL SOURCES </t>
  </si>
  <si>
    <t xml:space="preserve">    Federal direct</t>
  </si>
  <si>
    <t xml:space="preserve">    Federal through state and local</t>
  </si>
  <si>
    <t xml:space="preserve">STATE SOURCES </t>
  </si>
  <si>
    <t xml:space="preserve">    FEFP</t>
  </si>
  <si>
    <t xml:space="preserve">    Capital outlay</t>
  </si>
  <si>
    <t xml:space="preserve">    Class size reduction</t>
  </si>
  <si>
    <t xml:space="preserve">    School recognition</t>
  </si>
  <si>
    <t xml:space="preserve">    Other state revenue</t>
  </si>
  <si>
    <t>33XX</t>
  </si>
  <si>
    <t>LOCAL SOURCES</t>
  </si>
  <si>
    <t xml:space="preserve">    Interest</t>
  </si>
  <si>
    <t xml:space="preserve">    Local capital improvement tax</t>
  </si>
  <si>
    <t xml:space="preserve">    Other local revenue</t>
  </si>
  <si>
    <t>34XX</t>
  </si>
  <si>
    <t>Total Revenues</t>
  </si>
  <si>
    <t>Expenditures</t>
  </si>
  <si>
    <t>Current Expenditures</t>
  </si>
  <si>
    <t>Instruction</t>
  </si>
  <si>
    <t>Instructional support services</t>
  </si>
  <si>
    <t>Board</t>
  </si>
  <si>
    <t>School administration</t>
  </si>
  <si>
    <t>Facilities and acquisition</t>
  </si>
  <si>
    <t>Fiscal services</t>
  </si>
  <si>
    <t>Food services</t>
  </si>
  <si>
    <t>Central services</t>
  </si>
  <si>
    <t>Pupil transportation services</t>
  </si>
  <si>
    <t>Operation of plant</t>
  </si>
  <si>
    <t>Maintenance of plant</t>
  </si>
  <si>
    <t>Administrative technology services</t>
  </si>
  <si>
    <t>Community services</t>
  </si>
  <si>
    <t>Debt service</t>
  </si>
  <si>
    <t>Total Expenditures</t>
  </si>
  <si>
    <t>%</t>
  </si>
  <si>
    <t>Excess (Deficiency) of Revenues Over Expenditures</t>
  </si>
  <si>
    <t>Other Financing Sources (Uses)</t>
  </si>
  <si>
    <t>Transfers in</t>
  </si>
  <si>
    <t>Procceds from long term debt</t>
  </si>
  <si>
    <t>Transfers out</t>
  </si>
  <si>
    <t>Total Other Financing Sources (Uses)</t>
  </si>
  <si>
    <t>Net Change in Fund Balances</t>
  </si>
  <si>
    <t>Fund balances, beginning</t>
  </si>
  <si>
    <t>Adjustments to beginning fund balance</t>
  </si>
  <si>
    <t>Fund Balances, Beginning as Restated</t>
  </si>
  <si>
    <t>Fund Balances, 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</si>
</sst>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0" borderId="0" xfId="4" applyFont="1" applyAlignment="1" applyProtection="1">
      <alignment horizontal="center"/>
      <protection locked="0"/>
    </xf>
    <xf numFmtId="0" fontId="4" fillId="0" borderId="0" xfId="0" applyFont="1"/>
    <xf numFmtId="164" fontId="5" fillId="0" borderId="0" xfId="4" quotePrefix="1" applyNumberFormat="1" applyFont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right"/>
    </xf>
    <xf numFmtId="44" fontId="4" fillId="0" borderId="0" xfId="0" applyNumberFormat="1" applyFont="1" applyAlignment="1">
      <alignment horizontal="right"/>
    </xf>
    <xf numFmtId="43" fontId="4" fillId="0" borderId="0" xfId="1" applyFont="1" applyFill="1" applyAlignment="1">
      <alignment horizontal="right"/>
    </xf>
    <xf numFmtId="44" fontId="4" fillId="0" borderId="2" xfId="0" applyNumberFormat="1" applyFont="1" applyBorder="1" applyAlignment="1">
      <alignment horizontal="right"/>
    </xf>
    <xf numFmtId="44" fontId="4" fillId="0" borderId="0" xfId="0" applyNumberFormat="1" applyFont="1"/>
    <xf numFmtId="43" fontId="4" fillId="0" borderId="3" xfId="1" applyFont="1" applyBorder="1" applyAlignment="1">
      <alignment horizontal="right"/>
    </xf>
    <xf numFmtId="43" fontId="4" fillId="0" borderId="0" xfId="0" applyNumberFormat="1" applyFont="1"/>
    <xf numFmtId="44" fontId="4" fillId="0" borderId="2" xfId="2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4" applyFont="1" applyAlignment="1" applyProtection="1">
      <alignment horizontal="center"/>
      <protection locked="0"/>
    </xf>
    <xf numFmtId="0" fontId="3" fillId="0" borderId="0" xfId="4" applyFont="1" applyProtection="1">
      <protection locked="0"/>
    </xf>
    <xf numFmtId="37" fontId="4" fillId="0" borderId="1" xfId="0" applyNumberFormat="1" applyFont="1" applyBorder="1"/>
    <xf numFmtId="37" fontId="4" fillId="0" borderId="3" xfId="0" applyNumberFormat="1" applyFont="1" applyBorder="1"/>
    <xf numFmtId="9" fontId="4" fillId="0" borderId="0" xfId="3" applyFont="1" applyAlignment="1">
      <alignment horizontal="right"/>
    </xf>
    <xf numFmtId="0" fontId="3" fillId="0" borderId="4" xfId="4" applyFont="1" applyBorder="1" applyAlignment="1" applyProtection="1">
      <alignment horizontal="center"/>
      <protection locked="0"/>
    </xf>
    <xf numFmtId="0" fontId="3" fillId="0" borderId="3" xfId="4" applyFont="1" applyBorder="1" applyAlignment="1" applyProtection="1">
      <alignment horizontal="center"/>
      <protection locked="0"/>
    </xf>
    <xf numFmtId="0" fontId="3" fillId="0" borderId="5" xfId="4" applyFont="1" applyBorder="1" applyAlignment="1" applyProtection="1">
      <alignment horizontal="center"/>
      <protection locked="0"/>
    </xf>
    <xf numFmtId="0" fontId="3" fillId="0" borderId="0" xfId="4" applyFont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3" fillId="0" borderId="1" xfId="4" applyFont="1" applyBorder="1" applyAlignment="1" applyProtection="1">
      <alignment horizontal="center" wrapText="1"/>
      <protection locked="0"/>
    </xf>
    <xf numFmtId="0" fontId="3" fillId="0" borderId="3" xfId="4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wrapText="1"/>
    </xf>
    <xf numFmtId="0" fontId="8" fillId="0" borderId="0" xfId="4" applyFont="1" applyProtection="1">
      <protection locked="0"/>
    </xf>
    <xf numFmtId="0" fontId="8" fillId="0" borderId="0" xfId="4" applyFont="1" applyAlignment="1" applyProtection="1">
      <alignment horizontal="center"/>
      <protection locked="0"/>
    </xf>
    <xf numFmtId="44" fontId="4" fillId="0" borderId="0" xfId="2" applyFont="1" applyAlignment="1">
      <alignment horizontal="right"/>
    </xf>
    <xf numFmtId="0" fontId="8" fillId="0" borderId="0" xfId="4" applyFont="1" applyAlignment="1" applyProtection="1">
      <alignment horizontal="center" wrapText="1"/>
      <protection locked="0"/>
    </xf>
    <xf numFmtId="43" fontId="4" fillId="0" borderId="0" xfId="2" applyNumberFormat="1" applyFont="1" applyAlignment="1">
      <alignment horizontal="right"/>
    </xf>
    <xf numFmtId="9" fontId="4" fillId="0" borderId="3" xfId="3" applyFont="1" applyBorder="1" applyAlignment="1">
      <alignment horizontal="right"/>
    </xf>
    <xf numFmtId="0" fontId="8" fillId="0" borderId="0" xfId="4" applyFont="1" applyAlignment="1" applyProtection="1">
      <alignment horizontal="left"/>
      <protection locked="0"/>
    </xf>
    <xf numFmtId="43" fontId="4" fillId="0" borderId="1" xfId="1" applyFont="1" applyBorder="1" applyAlignment="1">
      <alignment horizontal="right"/>
    </xf>
    <xf numFmtId="43" fontId="4" fillId="0" borderId="0" xfId="1" applyFont="1"/>
    <xf numFmtId="44" fontId="4" fillId="0" borderId="6" xfId="2" applyFont="1" applyBorder="1" applyAlignment="1">
      <alignment horizontal="right"/>
    </xf>
    <xf numFmtId="9" fontId="4" fillId="0" borderId="6" xfId="3" applyFont="1" applyBorder="1" applyAlignment="1">
      <alignment horizontal="right"/>
    </xf>
    <xf numFmtId="44" fontId="4" fillId="0" borderId="0" xfId="2" applyFont="1" applyBorder="1" applyAlignment="1">
      <alignment horizontal="right"/>
    </xf>
    <xf numFmtId="9" fontId="4" fillId="0" borderId="0" xfId="3" applyFont="1" applyBorder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 2 3" xfId="4" xr:uid="{DC22ECD1-79E5-4FFD-B952-A5305FD214EB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Chautauqua%20Charter%20School\Financial%20Statements\CLS%20Financials%2023-24\05%20November%2023\CLS%20Board%20Reports%20Nov%2023.xlsm" TargetMode="External"/><Relationship Id="rId1" Type="http://schemas.openxmlformats.org/officeDocument/2006/relationships/externalLinkPath" Target="CLS%20Board%20Reports%20Nov%202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ldoe.org/USERDATA/EXCEL/FTE97E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ouisparker\Downloads\SUMMARY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EXCEL\FTE97E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kennemur\AppData\Local\Microsoft\Windows\Temporary%20Internet%20Files\Content.Outlook\GTPLOBU5\1617CSREW%20(6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mployee%20Folders/DK/Budget/Budgets/FY21/CLS/CLS%20Budget%20FY21%207.2.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s2\c%20on%20sfs2\DOCUME~1\CHRIS-~1.BHC\LOCALS~1\Temp\C.Lotus.Notes.Data\AJC\S%20L%20Jones%20%20Operatin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eavins\Desktop\New%20Year%20Budget\API%20Budget%20FY17a%20wrong%20one%20used%20vl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out\Feb%201999\PACS_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lance Sheet"/>
      <sheetName val="Revenue and Expense Summary"/>
      <sheetName val="Revenue and Expense Detail-CLS"/>
      <sheetName val="Cash Flow"/>
      <sheetName val="PR 22-23"/>
      <sheetName val="Payroll Budget"/>
      <sheetName val="PTable"/>
      <sheetName val="GL_PostedDetail"/>
      <sheetName val="FY24 Budget"/>
      <sheetName val="Dist BS"/>
      <sheetName val="Dist RE"/>
      <sheetName val="Coding"/>
    </sheetNames>
    <sheetDataSet>
      <sheetData sheetId="0"/>
      <sheetData sheetId="1"/>
      <sheetData sheetId="2">
        <row r="10">
          <cell r="D10" t="str">
            <v>GEN-3100</v>
          </cell>
          <cell r="E10">
            <v>0</v>
          </cell>
          <cell r="H10">
            <v>0</v>
          </cell>
          <cell r="K10">
            <v>0</v>
          </cell>
        </row>
        <row r="11">
          <cell r="D11" t="str">
            <v>GEN-34XX</v>
          </cell>
          <cell r="E11">
            <v>0</v>
          </cell>
          <cell r="H11">
            <v>0</v>
          </cell>
          <cell r="K11">
            <v>0</v>
          </cell>
        </row>
        <row r="12">
          <cell r="D12" t="str">
            <v>GEN-3310</v>
          </cell>
          <cell r="E12">
            <v>79628.92</v>
          </cell>
          <cell r="H12">
            <v>398144.6</v>
          </cell>
          <cell r="K12">
            <v>914786</v>
          </cell>
        </row>
        <row r="13">
          <cell r="D13" t="str">
            <v>GEN-3200</v>
          </cell>
          <cell r="E13">
            <v>0</v>
          </cell>
          <cell r="H13">
            <v>0</v>
          </cell>
          <cell r="K13">
            <v>60000</v>
          </cell>
        </row>
        <row r="14">
          <cell r="D14" t="str">
            <v>GEN-33XX</v>
          </cell>
          <cell r="E14">
            <v>0</v>
          </cell>
          <cell r="H14">
            <v>900</v>
          </cell>
          <cell r="K14">
            <v>0</v>
          </cell>
        </row>
        <row r="15">
          <cell r="D15" t="str">
            <v>GEN-34XX</v>
          </cell>
          <cell r="E15">
            <v>0</v>
          </cell>
          <cell r="H15">
            <v>0</v>
          </cell>
          <cell r="K15">
            <v>0</v>
          </cell>
        </row>
        <row r="16">
          <cell r="D16" t="str">
            <v>GEN-34XX</v>
          </cell>
          <cell r="E16">
            <v>0</v>
          </cell>
          <cell r="H16">
            <v>62445</v>
          </cell>
          <cell r="K16">
            <v>218135.75</v>
          </cell>
        </row>
        <row r="17">
          <cell r="D17" t="str">
            <v>GEN-33XX</v>
          </cell>
          <cell r="E17">
            <v>0</v>
          </cell>
          <cell r="H17">
            <v>0</v>
          </cell>
          <cell r="K17">
            <v>0</v>
          </cell>
        </row>
        <row r="18">
          <cell r="D18" t="str">
            <v>GEN-3430</v>
          </cell>
          <cell r="E18">
            <v>0</v>
          </cell>
          <cell r="H18">
            <v>326.74</v>
          </cell>
          <cell r="K18">
            <v>689.78</v>
          </cell>
        </row>
        <row r="19">
          <cell r="D19" t="str">
            <v>GEN-34XX</v>
          </cell>
          <cell r="E19">
            <v>141</v>
          </cell>
          <cell r="H19">
            <v>1275.7</v>
          </cell>
          <cell r="K19">
            <v>10984.53</v>
          </cell>
        </row>
        <row r="20">
          <cell r="D20" t="str">
            <v>GEN-34XX</v>
          </cell>
          <cell r="E20">
            <v>0</v>
          </cell>
          <cell r="H20">
            <v>4161</v>
          </cell>
          <cell r="K20">
            <v>770</v>
          </cell>
        </row>
        <row r="21">
          <cell r="D21" t="str">
            <v>GEN-34XX</v>
          </cell>
          <cell r="E21">
            <v>2250</v>
          </cell>
          <cell r="H21">
            <v>7050</v>
          </cell>
          <cell r="K21">
            <v>0</v>
          </cell>
        </row>
        <row r="22">
          <cell r="D22" t="str">
            <v>GEN-34XX</v>
          </cell>
          <cell r="E22">
            <v>0</v>
          </cell>
          <cell r="H22">
            <v>11000</v>
          </cell>
          <cell r="K22">
            <v>23800</v>
          </cell>
        </row>
        <row r="23">
          <cell r="D23" t="str">
            <v>GEN-34XX</v>
          </cell>
          <cell r="E23">
            <v>279.11</v>
          </cell>
          <cell r="H23">
            <v>12599.11</v>
          </cell>
          <cell r="K23">
            <v>43940.97</v>
          </cell>
        </row>
        <row r="24">
          <cell r="D24" t="str">
            <v>CAO-3397</v>
          </cell>
          <cell r="E24">
            <v>2248</v>
          </cell>
          <cell r="H24">
            <v>11274</v>
          </cell>
          <cell r="K24">
            <v>24960</v>
          </cell>
        </row>
        <row r="25">
          <cell r="D25" t="str">
            <v>SPR-3200</v>
          </cell>
          <cell r="E25">
            <v>0</v>
          </cell>
          <cell r="H25">
            <v>0</v>
          </cell>
          <cell r="K25">
            <v>0</v>
          </cell>
        </row>
        <row r="26">
          <cell r="D26" t="str">
            <v>SPR-3200</v>
          </cell>
          <cell r="E26">
            <v>0</v>
          </cell>
          <cell r="H26">
            <v>0</v>
          </cell>
          <cell r="K26">
            <v>0</v>
          </cell>
        </row>
        <row r="27">
          <cell r="D27" t="str">
            <v>SPR-3200</v>
          </cell>
          <cell r="E27">
            <v>0</v>
          </cell>
          <cell r="H27">
            <v>0</v>
          </cell>
          <cell r="K27">
            <v>0</v>
          </cell>
        </row>
        <row r="28">
          <cell r="D28" t="str">
            <v>SPR-3200</v>
          </cell>
          <cell r="E28">
            <v>0</v>
          </cell>
          <cell r="H28">
            <v>0</v>
          </cell>
          <cell r="K28">
            <v>0</v>
          </cell>
        </row>
        <row r="29">
          <cell r="D29" t="str">
            <v>SPR-3200</v>
          </cell>
          <cell r="E29">
            <v>0</v>
          </cell>
          <cell r="H29">
            <v>0</v>
          </cell>
          <cell r="K29">
            <v>0</v>
          </cell>
        </row>
        <row r="30">
          <cell r="D30" t="str">
            <v>SPR-3200</v>
          </cell>
          <cell r="E30">
            <v>2250</v>
          </cell>
          <cell r="H30">
            <v>10122</v>
          </cell>
          <cell r="K30">
            <v>25000</v>
          </cell>
        </row>
        <row r="31">
          <cell r="D31" t="str">
            <v>SPR-3200</v>
          </cell>
          <cell r="E31">
            <v>0</v>
          </cell>
          <cell r="H31">
            <v>0</v>
          </cell>
          <cell r="K31">
            <v>0</v>
          </cell>
        </row>
        <row r="32">
          <cell r="D32" t="str">
            <v>SPR-3200</v>
          </cell>
          <cell r="E32">
            <v>0</v>
          </cell>
          <cell r="H32">
            <v>0</v>
          </cell>
          <cell r="K32">
            <v>0</v>
          </cell>
        </row>
        <row r="34">
          <cell r="E34">
            <v>86797.03</v>
          </cell>
          <cell r="H34">
            <v>519298.14999999997</v>
          </cell>
          <cell r="K34">
            <v>1323067.03</v>
          </cell>
        </row>
        <row r="41">
          <cell r="D41" t="str">
            <v>GEN-5000</v>
          </cell>
          <cell r="E41">
            <v>21996.760000000002</v>
          </cell>
          <cell r="H41">
            <v>86316.97</v>
          </cell>
          <cell r="K41">
            <v>190637.27018148819</v>
          </cell>
        </row>
        <row r="42">
          <cell r="D42" t="str">
            <v>GEN-5000</v>
          </cell>
          <cell r="E42">
            <v>1995</v>
          </cell>
          <cell r="H42">
            <v>9825</v>
          </cell>
          <cell r="K42">
            <v>38160</v>
          </cell>
        </row>
        <row r="43">
          <cell r="D43" t="str">
            <v>GEN-5000</v>
          </cell>
          <cell r="E43">
            <v>17958.400000000001</v>
          </cell>
          <cell r="H43">
            <v>78015.95</v>
          </cell>
          <cell r="K43">
            <v>223069</v>
          </cell>
        </row>
        <row r="44">
          <cell r="D44" t="str">
            <v>GEN-5000</v>
          </cell>
          <cell r="E44">
            <v>3602.12</v>
          </cell>
          <cell r="H44">
            <v>14959.560000000001</v>
          </cell>
          <cell r="K44">
            <v>61318.252863627946</v>
          </cell>
        </row>
        <row r="45">
          <cell r="D45" t="str">
            <v>GEN-5000</v>
          </cell>
          <cell r="E45">
            <v>3152.64</v>
          </cell>
          <cell r="H45">
            <v>12887.74</v>
          </cell>
          <cell r="K45">
            <v>34567.769668883848</v>
          </cell>
        </row>
        <row r="46">
          <cell r="D46" t="str">
            <v>GEN-5000</v>
          </cell>
          <cell r="E46">
            <v>3452.77</v>
          </cell>
          <cell r="H46">
            <v>17410.170000000002</v>
          </cell>
          <cell r="K46">
            <v>36155.700000000004</v>
          </cell>
        </row>
        <row r="47">
          <cell r="D47" t="str">
            <v>GEN-5000</v>
          </cell>
          <cell r="E47">
            <v>-220.31</v>
          </cell>
          <cell r="H47">
            <v>1988.5500000000002</v>
          </cell>
          <cell r="K47">
            <v>2667.3682200000003</v>
          </cell>
        </row>
        <row r="48">
          <cell r="D48" t="str">
            <v>GEN-5000</v>
          </cell>
          <cell r="E48">
            <v>78.06</v>
          </cell>
          <cell r="H48">
            <v>662.88000000000011</v>
          </cell>
          <cell r="K48">
            <v>3606.8858</v>
          </cell>
        </row>
        <row r="49">
          <cell r="D49" t="str">
            <v>GEN-5000</v>
          </cell>
          <cell r="E49">
            <v>2960</v>
          </cell>
          <cell r="H49">
            <v>7345</v>
          </cell>
          <cell r="K49">
            <v>41323.956350561799</v>
          </cell>
        </row>
        <row r="50">
          <cell r="D50" t="str">
            <v>GEN-5000</v>
          </cell>
          <cell r="E50">
            <v>0</v>
          </cell>
          <cell r="H50">
            <v>0</v>
          </cell>
          <cell r="K50">
            <v>0</v>
          </cell>
        </row>
        <row r="51">
          <cell r="D51" t="str">
            <v>GEN-5000</v>
          </cell>
          <cell r="E51">
            <v>17131.020000000004</v>
          </cell>
          <cell r="H51">
            <v>101370.44999999998</v>
          </cell>
          <cell r="K51">
            <v>194198.29968539326</v>
          </cell>
        </row>
        <row r="52">
          <cell r="D52" t="str">
            <v>GEN-5000</v>
          </cell>
          <cell r="E52">
            <v>0</v>
          </cell>
          <cell r="H52">
            <v>0</v>
          </cell>
          <cell r="K52">
            <v>0</v>
          </cell>
        </row>
        <row r="53">
          <cell r="D53" t="str">
            <v>GEN-5000</v>
          </cell>
          <cell r="E53">
            <v>4642.88</v>
          </cell>
          <cell r="H53">
            <v>23864.15</v>
          </cell>
          <cell r="K53">
            <v>130922.98980674161</v>
          </cell>
        </row>
        <row r="54">
          <cell r="D54" t="str">
            <v>GEN-5000</v>
          </cell>
          <cell r="E54">
            <v>0</v>
          </cell>
          <cell r="H54">
            <v>0</v>
          </cell>
          <cell r="K54">
            <v>2231.2557303370791</v>
          </cell>
        </row>
        <row r="55">
          <cell r="D55" t="str">
            <v>GEN-5000</v>
          </cell>
          <cell r="E55">
            <v>0</v>
          </cell>
          <cell r="H55">
            <v>0</v>
          </cell>
          <cell r="K55">
            <v>0</v>
          </cell>
        </row>
        <row r="56">
          <cell r="D56" t="str">
            <v>GEN-5000</v>
          </cell>
          <cell r="E56">
            <v>0</v>
          </cell>
          <cell r="H56">
            <v>0</v>
          </cell>
          <cell r="K56">
            <v>82.516853932584269</v>
          </cell>
        </row>
        <row r="57">
          <cell r="D57" t="str">
            <v>GEN-5000</v>
          </cell>
          <cell r="E57">
            <v>432</v>
          </cell>
          <cell r="H57">
            <v>916</v>
          </cell>
          <cell r="K57">
            <v>3001.4130337078655</v>
          </cell>
        </row>
        <row r="58">
          <cell r="D58" t="str">
            <v>SPR-5000</v>
          </cell>
          <cell r="E58">
            <v>0</v>
          </cell>
          <cell r="H58">
            <v>0</v>
          </cell>
          <cell r="K58">
            <v>0</v>
          </cell>
        </row>
        <row r="59">
          <cell r="D59" t="str">
            <v>SPR-5000</v>
          </cell>
          <cell r="E59">
            <v>0</v>
          </cell>
          <cell r="H59">
            <v>0</v>
          </cell>
          <cell r="K59">
            <v>0</v>
          </cell>
        </row>
        <row r="60">
          <cell r="D60" t="str">
            <v>SPR-5000</v>
          </cell>
          <cell r="E60">
            <v>0</v>
          </cell>
          <cell r="H60">
            <v>0</v>
          </cell>
          <cell r="K60">
            <v>0</v>
          </cell>
        </row>
        <row r="61">
          <cell r="D61" t="str">
            <v>SPR-5000</v>
          </cell>
          <cell r="E61">
            <v>0</v>
          </cell>
          <cell r="H61">
            <v>0</v>
          </cell>
          <cell r="K61">
            <v>0</v>
          </cell>
        </row>
        <row r="62">
          <cell r="D62" t="str">
            <v>SPR-5000</v>
          </cell>
          <cell r="E62">
            <v>0</v>
          </cell>
          <cell r="H62">
            <v>0</v>
          </cell>
          <cell r="K62">
            <v>0</v>
          </cell>
        </row>
        <row r="63">
          <cell r="D63" t="str">
            <v>SPR-5000</v>
          </cell>
          <cell r="E63">
            <v>0</v>
          </cell>
          <cell r="H63">
            <v>0</v>
          </cell>
          <cell r="K63">
            <v>0</v>
          </cell>
        </row>
        <row r="64">
          <cell r="D64" t="str">
            <v>SPR-5000</v>
          </cell>
          <cell r="E64">
            <v>2250</v>
          </cell>
          <cell r="H64">
            <v>10122</v>
          </cell>
          <cell r="K64">
            <v>0</v>
          </cell>
        </row>
        <row r="65">
          <cell r="D65" t="str">
            <v>SPR-5000</v>
          </cell>
          <cell r="E65">
            <v>0</v>
          </cell>
          <cell r="H65">
            <v>0</v>
          </cell>
          <cell r="K65">
            <v>0</v>
          </cell>
        </row>
        <row r="66">
          <cell r="D66" t="str">
            <v>SPR-5000</v>
          </cell>
          <cell r="E66">
            <v>0</v>
          </cell>
          <cell r="H66">
            <v>0</v>
          </cell>
          <cell r="K66">
            <v>0</v>
          </cell>
        </row>
        <row r="67">
          <cell r="D67" t="str">
            <v>SPR-5000</v>
          </cell>
          <cell r="E67">
            <v>0</v>
          </cell>
          <cell r="H67">
            <v>0</v>
          </cell>
          <cell r="K67">
            <v>0</v>
          </cell>
        </row>
        <row r="69">
          <cell r="E69">
            <v>79431.340000000011</v>
          </cell>
          <cell r="H69">
            <v>365684.42</v>
          </cell>
          <cell r="K69">
            <v>961942.6781946742</v>
          </cell>
        </row>
        <row r="74">
          <cell r="D74" t="str">
            <v>GEN-6000</v>
          </cell>
          <cell r="E74">
            <v>6088.13</v>
          </cell>
          <cell r="H74">
            <v>21801.200000000001</v>
          </cell>
          <cell r="K74">
            <v>39530.160000000003</v>
          </cell>
        </row>
        <row r="75">
          <cell r="D75" t="str">
            <v>GEN-6000</v>
          </cell>
          <cell r="E75">
            <v>450.61</v>
          </cell>
          <cell r="H75">
            <v>2003.38</v>
          </cell>
          <cell r="K75">
            <v>5364.2427120000002</v>
          </cell>
        </row>
        <row r="76">
          <cell r="D76" t="str">
            <v>GEN-6000</v>
          </cell>
          <cell r="E76">
            <v>458.07000000000005</v>
          </cell>
          <cell r="H76">
            <v>1629.38</v>
          </cell>
          <cell r="K76">
            <v>3024.0572400000001</v>
          </cell>
        </row>
        <row r="77">
          <cell r="D77" t="str">
            <v>GEN-6000</v>
          </cell>
          <cell r="E77">
            <v>573.9</v>
          </cell>
          <cell r="H77">
            <v>2869.5</v>
          </cell>
          <cell r="K77">
            <v>7231.14</v>
          </cell>
        </row>
        <row r="78">
          <cell r="D78" t="str">
            <v>GEN-6000</v>
          </cell>
          <cell r="E78">
            <v>-36.72</v>
          </cell>
          <cell r="H78">
            <v>331.61</v>
          </cell>
          <cell r="K78">
            <v>237.18096</v>
          </cell>
        </row>
        <row r="79">
          <cell r="D79" t="str">
            <v>GEN-6000</v>
          </cell>
          <cell r="E79">
            <v>77.569999999999993</v>
          </cell>
          <cell r="H79">
            <v>210.29000000000002</v>
          </cell>
          <cell r="K79">
            <v>353.40320000000003</v>
          </cell>
        </row>
        <row r="80">
          <cell r="D80" t="str">
            <v>GEN-6000</v>
          </cell>
          <cell r="E80">
            <v>0</v>
          </cell>
          <cell r="H80">
            <v>85.59</v>
          </cell>
          <cell r="K80">
            <v>0</v>
          </cell>
        </row>
        <row r="81">
          <cell r="D81" t="str">
            <v>GEN-6000</v>
          </cell>
          <cell r="E81">
            <v>0</v>
          </cell>
          <cell r="H81">
            <v>100</v>
          </cell>
          <cell r="K81">
            <v>1072.7191011235955</v>
          </cell>
        </row>
        <row r="82">
          <cell r="D82" t="str">
            <v>GEN-6000</v>
          </cell>
          <cell r="E82">
            <v>0</v>
          </cell>
          <cell r="H82">
            <v>0</v>
          </cell>
          <cell r="K82">
            <v>0</v>
          </cell>
        </row>
        <row r="83">
          <cell r="D83" t="str">
            <v>SPR-6000</v>
          </cell>
          <cell r="E83">
            <v>0</v>
          </cell>
          <cell r="H83">
            <v>0</v>
          </cell>
          <cell r="K83">
            <v>0</v>
          </cell>
        </row>
        <row r="85">
          <cell r="E85">
            <v>7611.5599999999986</v>
          </cell>
          <cell r="H85">
            <v>29030.950000000004</v>
          </cell>
          <cell r="K85">
            <v>56812.903213123602</v>
          </cell>
        </row>
        <row r="90">
          <cell r="D90" t="str">
            <v>GEN-6000</v>
          </cell>
          <cell r="E90">
            <v>0</v>
          </cell>
          <cell r="H90">
            <v>0</v>
          </cell>
          <cell r="K90">
            <v>0</v>
          </cell>
        </row>
        <row r="92">
          <cell r="E92">
            <v>0</v>
          </cell>
          <cell r="H92">
            <v>0</v>
          </cell>
          <cell r="K92">
            <v>0</v>
          </cell>
        </row>
        <row r="97">
          <cell r="D97" t="str">
            <v>GEN-6000</v>
          </cell>
          <cell r="E97">
            <v>75</v>
          </cell>
          <cell r="H97">
            <v>75</v>
          </cell>
          <cell r="K97">
            <v>0</v>
          </cell>
        </row>
        <row r="99">
          <cell r="E99">
            <v>75</v>
          </cell>
          <cell r="H99">
            <v>75</v>
          </cell>
          <cell r="K99">
            <v>0</v>
          </cell>
        </row>
        <row r="105">
          <cell r="D105" t="str">
            <v>GEN-6000</v>
          </cell>
          <cell r="E105">
            <v>0</v>
          </cell>
          <cell r="H105">
            <v>0</v>
          </cell>
          <cell r="K105">
            <v>0</v>
          </cell>
        </row>
        <row r="106">
          <cell r="D106" t="str">
            <v>GEN-6000</v>
          </cell>
          <cell r="E106">
            <v>0</v>
          </cell>
          <cell r="H106">
            <v>0</v>
          </cell>
          <cell r="K106">
            <v>0</v>
          </cell>
        </row>
        <row r="107">
          <cell r="D107" t="str">
            <v>GEN-6000</v>
          </cell>
          <cell r="E107">
            <v>0</v>
          </cell>
          <cell r="H107">
            <v>0</v>
          </cell>
          <cell r="K107">
            <v>0</v>
          </cell>
        </row>
        <row r="108">
          <cell r="D108" t="str">
            <v>GEN-6000</v>
          </cell>
          <cell r="E108">
            <v>0</v>
          </cell>
          <cell r="H108">
            <v>0</v>
          </cell>
          <cell r="K108">
            <v>0</v>
          </cell>
        </row>
        <row r="109">
          <cell r="D109" t="str">
            <v>GEN-6000</v>
          </cell>
          <cell r="E109">
            <v>0</v>
          </cell>
          <cell r="H109">
            <v>0</v>
          </cell>
          <cell r="K109">
            <v>0</v>
          </cell>
        </row>
        <row r="110">
          <cell r="D110" t="str">
            <v>GEN-6000</v>
          </cell>
          <cell r="E110">
            <v>0</v>
          </cell>
          <cell r="H110">
            <v>0</v>
          </cell>
          <cell r="K110">
            <v>0</v>
          </cell>
        </row>
        <row r="111">
          <cell r="D111" t="str">
            <v>GEN-6000</v>
          </cell>
          <cell r="E111">
            <v>0</v>
          </cell>
          <cell r="H111">
            <v>116.98</v>
          </cell>
          <cell r="K111">
            <v>0</v>
          </cell>
        </row>
        <row r="112">
          <cell r="D112" t="str">
            <v>SPR-6000</v>
          </cell>
          <cell r="E112">
            <v>0</v>
          </cell>
          <cell r="H112">
            <v>0</v>
          </cell>
          <cell r="K112">
            <v>0</v>
          </cell>
        </row>
        <row r="113">
          <cell r="D113" t="str">
            <v>SPR-6000</v>
          </cell>
          <cell r="E113">
            <v>0</v>
          </cell>
          <cell r="H113">
            <v>0</v>
          </cell>
          <cell r="K113">
            <v>0</v>
          </cell>
        </row>
        <row r="114">
          <cell r="D114" t="str">
            <v>SPR-6000</v>
          </cell>
          <cell r="E114">
            <v>0</v>
          </cell>
          <cell r="H114">
            <v>0</v>
          </cell>
          <cell r="K114">
            <v>0</v>
          </cell>
        </row>
        <row r="116">
          <cell r="E116">
            <v>0</v>
          </cell>
          <cell r="H116">
            <v>116.98</v>
          </cell>
          <cell r="K116">
            <v>0</v>
          </cell>
        </row>
        <row r="121">
          <cell r="D121" t="str">
            <v>GEN-7100</v>
          </cell>
          <cell r="E121">
            <v>13.68</v>
          </cell>
          <cell r="H121">
            <v>8013.68</v>
          </cell>
          <cell r="K121">
            <v>8160</v>
          </cell>
        </row>
        <row r="122">
          <cell r="D122" t="str">
            <v>GEN-7100</v>
          </cell>
          <cell r="E122">
            <v>0</v>
          </cell>
          <cell r="H122">
            <v>5061</v>
          </cell>
          <cell r="K122">
            <v>0</v>
          </cell>
        </row>
        <row r="123">
          <cell r="D123" t="str">
            <v>GEN-7100</v>
          </cell>
          <cell r="E123">
            <v>0</v>
          </cell>
          <cell r="H123">
            <v>0</v>
          </cell>
          <cell r="K123">
            <v>0</v>
          </cell>
        </row>
        <row r="124">
          <cell r="D124" t="str">
            <v>GEN-7100</v>
          </cell>
          <cell r="E124">
            <v>209.53</v>
          </cell>
          <cell r="H124">
            <v>4983.53</v>
          </cell>
          <cell r="K124">
            <v>17961.893999999997</v>
          </cell>
        </row>
        <row r="125">
          <cell r="D125" t="str">
            <v>GEN-7100</v>
          </cell>
          <cell r="E125">
            <v>1744.42</v>
          </cell>
          <cell r="H125">
            <v>8722.18</v>
          </cell>
          <cell r="K125">
            <v>19179.900000000001</v>
          </cell>
        </row>
        <row r="126">
          <cell r="D126" t="str">
            <v>GEN-7100</v>
          </cell>
          <cell r="E126">
            <v>0</v>
          </cell>
          <cell r="H126">
            <v>250</v>
          </cell>
          <cell r="K126">
            <v>0</v>
          </cell>
        </row>
        <row r="127">
          <cell r="D127" t="str">
            <v>GEN-7100</v>
          </cell>
          <cell r="E127">
            <v>0</v>
          </cell>
          <cell r="H127">
            <v>2063.35</v>
          </cell>
          <cell r="K127">
            <v>45.9</v>
          </cell>
        </row>
        <row r="129">
          <cell r="E129">
            <v>1967.63</v>
          </cell>
          <cell r="H129">
            <v>29093.739999999998</v>
          </cell>
          <cell r="K129">
            <v>45347.693999999996</v>
          </cell>
        </row>
        <row r="134">
          <cell r="D134" t="str">
            <v>GEN-7300</v>
          </cell>
          <cell r="E134">
            <v>3668.2</v>
          </cell>
          <cell r="H134">
            <v>16819.599999999999</v>
          </cell>
          <cell r="K134">
            <v>26880</v>
          </cell>
        </row>
        <row r="135">
          <cell r="D135" t="str">
            <v>GEN-7300</v>
          </cell>
          <cell r="E135">
            <v>117.14</v>
          </cell>
          <cell r="H135">
            <v>554.16</v>
          </cell>
          <cell r="K135">
            <v>3647.6160000000004</v>
          </cell>
        </row>
        <row r="136">
          <cell r="D136" t="str">
            <v>GEN-7300</v>
          </cell>
          <cell r="E136">
            <v>280.62</v>
          </cell>
          <cell r="H136">
            <v>1286.7800000000002</v>
          </cell>
          <cell r="K136">
            <v>2056.3200000000002</v>
          </cell>
        </row>
        <row r="137">
          <cell r="D137" t="str">
            <v>GEN-7300</v>
          </cell>
          <cell r="E137">
            <v>0</v>
          </cell>
          <cell r="H137">
            <v>4.76</v>
          </cell>
          <cell r="K137">
            <v>0</v>
          </cell>
        </row>
        <row r="138">
          <cell r="D138" t="str">
            <v>GEN-7300</v>
          </cell>
          <cell r="E138">
            <v>-18.36</v>
          </cell>
          <cell r="H138">
            <v>165.52999999999997</v>
          </cell>
          <cell r="K138">
            <v>161.28000000000003</v>
          </cell>
        </row>
        <row r="139">
          <cell r="D139" t="str">
            <v>GEN-7300</v>
          </cell>
          <cell r="E139">
            <v>64.14</v>
          </cell>
          <cell r="H139">
            <v>372.62</v>
          </cell>
          <cell r="K139">
            <v>434.4</v>
          </cell>
        </row>
        <row r="140">
          <cell r="D140" t="str">
            <v>GEN-7300</v>
          </cell>
          <cell r="E140">
            <v>0</v>
          </cell>
          <cell r="H140">
            <v>0</v>
          </cell>
          <cell r="K140">
            <v>158.1</v>
          </cell>
        </row>
        <row r="141">
          <cell r="D141" t="str">
            <v>GEN-7300</v>
          </cell>
          <cell r="E141">
            <v>0</v>
          </cell>
          <cell r="H141">
            <v>1350</v>
          </cell>
          <cell r="K141">
            <v>1871.2307999999998</v>
          </cell>
        </row>
        <row r="142">
          <cell r="D142" t="str">
            <v>GEN-7300</v>
          </cell>
          <cell r="E142">
            <v>5.55</v>
          </cell>
          <cell r="H142">
            <v>223.45000000000002</v>
          </cell>
          <cell r="K142">
            <v>664.82579999999996</v>
          </cell>
        </row>
        <row r="143">
          <cell r="D143" t="str">
            <v>GEN-7300</v>
          </cell>
          <cell r="E143">
            <v>0</v>
          </cell>
          <cell r="H143">
            <v>88.48</v>
          </cell>
          <cell r="K143">
            <v>366.6696</v>
          </cell>
        </row>
        <row r="144">
          <cell r="D144" t="str">
            <v>GEN-7300</v>
          </cell>
          <cell r="E144">
            <v>99.99</v>
          </cell>
          <cell r="H144">
            <v>99.99</v>
          </cell>
          <cell r="K144">
            <v>844.35599999999999</v>
          </cell>
        </row>
        <row r="145">
          <cell r="D145" t="str">
            <v>GEN-7300</v>
          </cell>
          <cell r="E145">
            <v>0</v>
          </cell>
          <cell r="H145">
            <v>0</v>
          </cell>
          <cell r="K145">
            <v>0</v>
          </cell>
        </row>
        <row r="146">
          <cell r="D146" t="str">
            <v>GEN-7300</v>
          </cell>
          <cell r="E146">
            <v>0</v>
          </cell>
          <cell r="H146">
            <v>0</v>
          </cell>
          <cell r="K146">
            <v>0</v>
          </cell>
        </row>
        <row r="147">
          <cell r="D147" t="str">
            <v>SPR-7300</v>
          </cell>
          <cell r="E147">
            <v>0</v>
          </cell>
          <cell r="H147">
            <v>0</v>
          </cell>
          <cell r="K147">
            <v>0</v>
          </cell>
        </row>
        <row r="149">
          <cell r="E149">
            <v>4217.28</v>
          </cell>
          <cell r="H149">
            <v>20965.369999999995</v>
          </cell>
          <cell r="K149">
            <v>37084.798199999997</v>
          </cell>
        </row>
        <row r="154">
          <cell r="D154" t="str">
            <v>GEN-7400</v>
          </cell>
          <cell r="E154">
            <v>0</v>
          </cell>
          <cell r="H154">
            <v>8410</v>
          </cell>
          <cell r="K154">
            <v>31702</v>
          </cell>
        </row>
        <row r="155">
          <cell r="D155" t="str">
            <v>CAO-7400</v>
          </cell>
          <cell r="E155">
            <v>0</v>
          </cell>
          <cell r="H155">
            <v>0</v>
          </cell>
          <cell r="K155">
            <v>0</v>
          </cell>
        </row>
        <row r="157">
          <cell r="E157">
            <v>0</v>
          </cell>
          <cell r="H157">
            <v>8410</v>
          </cell>
          <cell r="K157">
            <v>31702</v>
          </cell>
        </row>
        <row r="160">
          <cell r="D160" t="str">
            <v>GEN-7500</v>
          </cell>
          <cell r="E160">
            <v>2329.5</v>
          </cell>
          <cell r="H160">
            <v>11620.560000000001</v>
          </cell>
          <cell r="K160">
            <v>26868.182999999997</v>
          </cell>
        </row>
        <row r="161">
          <cell r="D161" t="str">
            <v>GEN-7500</v>
          </cell>
          <cell r="E161">
            <v>0</v>
          </cell>
          <cell r="H161">
            <v>1433.91</v>
          </cell>
          <cell r="K161">
            <v>6478.4553772686022</v>
          </cell>
        </row>
        <row r="162">
          <cell r="D162" t="str">
            <v>SPR-7500</v>
          </cell>
          <cell r="E162">
            <v>0</v>
          </cell>
          <cell r="H162">
            <v>0</v>
          </cell>
          <cell r="K162">
            <v>0</v>
          </cell>
        </row>
        <row r="164">
          <cell r="E164">
            <v>2329.5</v>
          </cell>
          <cell r="H164">
            <v>13054.470000000001</v>
          </cell>
          <cell r="K164">
            <v>33346.638377268602</v>
          </cell>
        </row>
        <row r="169">
          <cell r="D169" t="str">
            <v>GEN-7600</v>
          </cell>
          <cell r="E169">
            <v>0</v>
          </cell>
          <cell r="H169">
            <v>0</v>
          </cell>
          <cell r="K169">
            <v>0</v>
          </cell>
        </row>
        <row r="170">
          <cell r="D170" t="str">
            <v>GEN-7600</v>
          </cell>
          <cell r="E170">
            <v>0</v>
          </cell>
          <cell r="H170">
            <v>0</v>
          </cell>
          <cell r="K170">
            <v>0</v>
          </cell>
        </row>
        <row r="172">
          <cell r="E172">
            <v>0</v>
          </cell>
          <cell r="H172">
            <v>0</v>
          </cell>
          <cell r="K172">
            <v>0</v>
          </cell>
        </row>
        <row r="177">
          <cell r="D177" t="str">
            <v>GEN-7800</v>
          </cell>
          <cell r="E177">
            <v>0</v>
          </cell>
          <cell r="H177">
            <v>0</v>
          </cell>
          <cell r="K177">
            <v>0</v>
          </cell>
        </row>
        <row r="178">
          <cell r="D178" t="str">
            <v>GEN-7800</v>
          </cell>
          <cell r="E178">
            <v>262.5</v>
          </cell>
          <cell r="H178">
            <v>1259.25</v>
          </cell>
          <cell r="K178">
            <v>3336.4314606741577</v>
          </cell>
        </row>
        <row r="179">
          <cell r="D179" t="str">
            <v>GEN-7800</v>
          </cell>
          <cell r="E179">
            <v>0</v>
          </cell>
          <cell r="H179">
            <v>0</v>
          </cell>
          <cell r="K179">
            <v>22.004494382022472</v>
          </cell>
        </row>
        <row r="180">
          <cell r="D180" t="str">
            <v>GEN-7800</v>
          </cell>
          <cell r="E180">
            <v>0</v>
          </cell>
          <cell r="H180">
            <v>0</v>
          </cell>
          <cell r="K180">
            <v>0</v>
          </cell>
        </row>
        <row r="181">
          <cell r="D181" t="str">
            <v>GEN-7800</v>
          </cell>
          <cell r="E181">
            <v>0</v>
          </cell>
          <cell r="H181">
            <v>33.200000000000003</v>
          </cell>
          <cell r="K181">
            <v>0</v>
          </cell>
        </row>
        <row r="182">
          <cell r="D182" t="str">
            <v>SPR-7800</v>
          </cell>
          <cell r="E182">
            <v>0</v>
          </cell>
          <cell r="H182">
            <v>0</v>
          </cell>
          <cell r="K182">
            <v>0</v>
          </cell>
        </row>
        <row r="183">
          <cell r="D183" t="str">
            <v>SPR-7800</v>
          </cell>
          <cell r="E183">
            <v>0</v>
          </cell>
          <cell r="H183">
            <v>0</v>
          </cell>
          <cell r="K183">
            <v>0</v>
          </cell>
        </row>
        <row r="185">
          <cell r="E185">
            <v>262.5</v>
          </cell>
          <cell r="H185">
            <v>1292.45</v>
          </cell>
          <cell r="K185">
            <v>3358.4359550561803</v>
          </cell>
        </row>
        <row r="190">
          <cell r="D190" t="str">
            <v>GEN-7900</v>
          </cell>
          <cell r="E190">
            <v>5092</v>
          </cell>
          <cell r="H190">
            <v>18240.080000000002</v>
          </cell>
          <cell r="K190">
            <v>48529.152000000002</v>
          </cell>
        </row>
        <row r="191">
          <cell r="D191" t="str">
            <v>GEN-7900</v>
          </cell>
          <cell r="E191">
            <v>1856.24</v>
          </cell>
          <cell r="H191">
            <v>10989.08</v>
          </cell>
          <cell r="K191">
            <v>24641.56</v>
          </cell>
        </row>
        <row r="192">
          <cell r="D192" t="str">
            <v>GEN-7900</v>
          </cell>
          <cell r="E192">
            <v>0</v>
          </cell>
          <cell r="H192">
            <v>160</v>
          </cell>
          <cell r="K192">
            <v>1920</v>
          </cell>
        </row>
        <row r="193">
          <cell r="D193" t="str">
            <v>GEN-7900</v>
          </cell>
          <cell r="E193">
            <v>499.19</v>
          </cell>
          <cell r="H193">
            <v>3710.4100000000003</v>
          </cell>
          <cell r="K193">
            <v>5353.7352000000001</v>
          </cell>
        </row>
        <row r="194">
          <cell r="D194" t="str">
            <v>GEN-7900</v>
          </cell>
          <cell r="E194">
            <v>0</v>
          </cell>
          <cell r="H194">
            <v>381.08</v>
          </cell>
          <cell r="K194">
            <v>2265.1548000000003</v>
          </cell>
        </row>
        <row r="195">
          <cell r="D195" t="str">
            <v>GEN-7900</v>
          </cell>
          <cell r="E195">
            <v>0</v>
          </cell>
          <cell r="H195">
            <v>377.82</v>
          </cell>
          <cell r="K195">
            <v>1605.1842000000004</v>
          </cell>
        </row>
        <row r="196">
          <cell r="D196" t="str">
            <v>GEN-7900</v>
          </cell>
          <cell r="E196">
            <v>378.96000000000004</v>
          </cell>
          <cell r="H196">
            <v>4930.4799999999996</v>
          </cell>
          <cell r="K196">
            <v>7397.5398000000005</v>
          </cell>
        </row>
        <row r="197">
          <cell r="D197" t="str">
            <v>GEN-7900</v>
          </cell>
          <cell r="E197">
            <v>0</v>
          </cell>
          <cell r="H197">
            <v>790.57</v>
          </cell>
          <cell r="K197">
            <v>3154.1663999999996</v>
          </cell>
        </row>
        <row r="198">
          <cell r="D198" t="str">
            <v>CAO-7900</v>
          </cell>
          <cell r="E198">
            <v>0</v>
          </cell>
          <cell r="H198">
            <v>0</v>
          </cell>
          <cell r="K198">
            <v>0</v>
          </cell>
        </row>
        <row r="199">
          <cell r="D199" t="str">
            <v>SPR-7900</v>
          </cell>
          <cell r="E199">
            <v>0</v>
          </cell>
          <cell r="H199">
            <v>0</v>
          </cell>
          <cell r="K199">
            <v>0</v>
          </cell>
        </row>
        <row r="200">
          <cell r="D200" t="str">
            <v>SPR-7900</v>
          </cell>
          <cell r="E200">
            <v>0</v>
          </cell>
          <cell r="H200">
            <v>0</v>
          </cell>
          <cell r="K200">
            <v>0</v>
          </cell>
        </row>
        <row r="201">
          <cell r="D201" t="str">
            <v>SPR-7900</v>
          </cell>
          <cell r="E201">
            <v>0</v>
          </cell>
          <cell r="H201">
            <v>0</v>
          </cell>
          <cell r="K201">
            <v>0</v>
          </cell>
        </row>
        <row r="202">
          <cell r="D202" t="str">
            <v>SPR-7900</v>
          </cell>
          <cell r="E202">
            <v>0</v>
          </cell>
          <cell r="H202">
            <v>0</v>
          </cell>
          <cell r="K202">
            <v>0</v>
          </cell>
        </row>
        <row r="203">
          <cell r="D203" t="str">
            <v>SPR-7900</v>
          </cell>
          <cell r="E203">
            <v>0</v>
          </cell>
          <cell r="H203">
            <v>0</v>
          </cell>
          <cell r="K203">
            <v>0</v>
          </cell>
        </row>
        <row r="205">
          <cell r="E205">
            <v>7826.3899999999994</v>
          </cell>
          <cell r="H205">
            <v>39579.520000000011</v>
          </cell>
          <cell r="K205">
            <v>94866.492400000003</v>
          </cell>
        </row>
        <row r="211">
          <cell r="D211" t="str">
            <v>GEN-8100</v>
          </cell>
          <cell r="E211">
            <v>2739.5</v>
          </cell>
          <cell r="H211">
            <v>8778</v>
          </cell>
          <cell r="K211">
            <v>16949.084999999999</v>
          </cell>
        </row>
        <row r="212">
          <cell r="D212" t="str">
            <v>CAO-8100</v>
          </cell>
          <cell r="E212">
            <v>0</v>
          </cell>
          <cell r="H212">
            <v>0</v>
          </cell>
          <cell r="K212">
            <v>0</v>
          </cell>
        </row>
        <row r="214">
          <cell r="E214">
            <v>2739.5</v>
          </cell>
          <cell r="H214">
            <v>8778</v>
          </cell>
          <cell r="K214">
            <v>16949.084999999999</v>
          </cell>
        </row>
        <row r="219">
          <cell r="D219" t="str">
            <v>GEN-9100</v>
          </cell>
          <cell r="E219">
            <v>500</v>
          </cell>
          <cell r="H219">
            <v>500</v>
          </cell>
          <cell r="K219">
            <v>102</v>
          </cell>
        </row>
        <row r="220">
          <cell r="D220" t="str">
            <v>GEN-9100</v>
          </cell>
          <cell r="E220">
            <v>0</v>
          </cell>
          <cell r="H220">
            <v>0</v>
          </cell>
          <cell r="K220">
            <v>0</v>
          </cell>
        </row>
        <row r="222">
          <cell r="E222">
            <v>500</v>
          </cell>
          <cell r="H222">
            <v>500</v>
          </cell>
          <cell r="K222">
            <v>102</v>
          </cell>
        </row>
        <row r="227">
          <cell r="D227" t="str">
            <v>GEN-9200</v>
          </cell>
          <cell r="E227">
            <v>0</v>
          </cell>
          <cell r="H227">
            <v>0</v>
          </cell>
          <cell r="K227">
            <v>0</v>
          </cell>
        </row>
        <row r="228">
          <cell r="D228" t="str">
            <v>GEN-9200</v>
          </cell>
          <cell r="E228">
            <v>0</v>
          </cell>
          <cell r="H228">
            <v>0</v>
          </cell>
          <cell r="K228">
            <v>0</v>
          </cell>
        </row>
        <row r="229">
          <cell r="D229" t="str">
            <v>CAO-9200</v>
          </cell>
          <cell r="E229">
            <v>760.35</v>
          </cell>
          <cell r="H229">
            <v>3771.61</v>
          </cell>
          <cell r="K229">
            <v>12439.68</v>
          </cell>
        </row>
        <row r="230">
          <cell r="D230" t="str">
            <v>CAO-9200</v>
          </cell>
          <cell r="E230">
            <v>276.29000000000002</v>
          </cell>
          <cell r="H230">
            <v>1411.5899999999997</v>
          </cell>
          <cell r="K230">
            <v>0</v>
          </cell>
        </row>
        <row r="232">
          <cell r="E232">
            <v>1036.6400000000001</v>
          </cell>
          <cell r="H232">
            <v>5183.2</v>
          </cell>
          <cell r="K232">
            <v>12439.68</v>
          </cell>
        </row>
        <row r="235">
          <cell r="E235">
            <v>107997.34000000001</v>
          </cell>
          <cell r="H235">
            <v>521764.1</v>
          </cell>
          <cell r="K235">
            <v>1293952.4053401225</v>
          </cell>
        </row>
        <row r="238">
          <cell r="E238">
            <v>-21200.310000000012</v>
          </cell>
          <cell r="H238">
            <v>-2465.9500000000116</v>
          </cell>
          <cell r="K238">
            <v>29114.624659877503</v>
          </cell>
        </row>
      </sheetData>
      <sheetData sheetId="3"/>
      <sheetData sheetId="4"/>
      <sheetData sheetId="5"/>
      <sheetData sheetId="6">
        <row r="2">
          <cell r="D2" t="str">
            <v>Month and Year-to-Date Ending November 30, 2023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Budget (CY) (DISTRIBUTION)"/>
      <sheetName val="Salary Looku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Op FB"/>
      <sheetName val="Narrative"/>
      <sheetName val="Cash Flow Startup"/>
      <sheetName val="Cash Flow 1"/>
      <sheetName val="Cash Flow 2"/>
      <sheetName val="Cash Flow 3"/>
      <sheetName val="Cash Flow 4"/>
      <sheetName val="Cash Flow 5"/>
      <sheetName val="Staffing"/>
      <sheetName val="Enroll"/>
      <sheetName val="Misc"/>
      <sheetName val="Food Svc"/>
      <sheetName val="Computers"/>
      <sheetName val="PIVOT (COUNT)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l charter school calculator"/>
      <sheetName val=" Detail 2016-17 Second FEFP"/>
      <sheetName val="111-112-113 ADDITIONAL FUND"/>
      <sheetName val="Transportation Per Student"/>
      <sheetName val="75% or more ESE Calc"/>
    </sheetNames>
    <sheetDataSet>
      <sheetData sheetId="0"/>
      <sheetData sheetId="1">
        <row r="3">
          <cell r="B3" t="str">
            <v>Alachua</v>
          </cell>
        </row>
      </sheetData>
      <sheetData sheetId="2">
        <row r="6">
          <cell r="D6">
            <v>975</v>
          </cell>
        </row>
      </sheetData>
      <sheetData sheetId="3">
        <row r="13">
          <cell r="F13">
            <v>380</v>
          </cell>
        </row>
      </sheetData>
      <sheetData sheetId="4">
        <row r="89">
          <cell r="H89">
            <v>369227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"/>
      <sheetName val="Rev Input"/>
      <sheetName val="Payroll"/>
      <sheetName val="Expense Input"/>
      <sheetName val="CF 20"/>
      <sheetName val="PR FY20"/>
      <sheetName val="Restart Grant"/>
    </sheetNames>
    <sheetDataSet>
      <sheetData sheetId="0"/>
      <sheetData sheetId="1">
        <row r="50">
          <cell r="J50">
            <v>46.55</v>
          </cell>
        </row>
        <row r="51">
          <cell r="J51">
            <v>46.55</v>
          </cell>
        </row>
        <row r="52">
          <cell r="J52">
            <v>1.01</v>
          </cell>
        </row>
        <row r="53">
          <cell r="J53">
            <v>1.02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 Budget"/>
      <sheetName val="Data"/>
      <sheetName val="Personnel"/>
      <sheetName val="FD Budget 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Summary"/>
      <sheetName val="Budget - VLA"/>
      <sheetName val="Rev Input"/>
      <sheetName val="Payroll Input"/>
      <sheetName val="Payroll Allocations"/>
      <sheetName val=" Expense Input"/>
      <sheetName val="Debt Svc"/>
      <sheetName val="FY14"/>
      <sheetName val="Active"/>
      <sheetName val="WCS Cash Flow Feb 10"/>
    </sheetNames>
    <sheetDataSet>
      <sheetData sheetId="0"/>
      <sheetData sheetId="1"/>
      <sheetData sheetId="2">
        <row r="83">
          <cell r="O83">
            <v>401.66</v>
          </cell>
        </row>
      </sheetData>
      <sheetData sheetId="3">
        <row r="260">
          <cell r="D260">
            <v>1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Table"/>
      <sheetName val="BS"/>
      <sheetName val="IS"/>
      <sheetName val="Forecast"/>
      <sheetName val="Revenue"/>
      <sheetName val="Expense"/>
      <sheetName val="Graph"/>
      <sheetName val="Enrollment"/>
      <sheetName val="Forecast WS"/>
      <sheetName val="Acctg IS"/>
      <sheetName val="Acctg BS"/>
      <sheetName val="Budget"/>
      <sheetName val="TB"/>
      <sheetName val="GL"/>
      <sheetName val="StkIn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6">
          <cell r="A6" t="str">
            <v>Revenues</v>
          </cell>
        </row>
        <row r="8">
          <cell r="A8" t="str">
            <v>Number of Students B.O.M.</v>
          </cell>
          <cell r="B8">
            <v>819</v>
          </cell>
          <cell r="C8">
            <v>819</v>
          </cell>
          <cell r="D8">
            <v>819</v>
          </cell>
          <cell r="E8">
            <v>819</v>
          </cell>
          <cell r="F8">
            <v>819</v>
          </cell>
          <cell r="G8">
            <v>819</v>
          </cell>
          <cell r="H8">
            <v>819</v>
          </cell>
          <cell r="I8">
            <v>819</v>
          </cell>
          <cell r="J8">
            <v>819</v>
          </cell>
          <cell r="K8">
            <v>819</v>
          </cell>
          <cell r="L8">
            <v>819</v>
          </cell>
          <cell r="M8">
            <v>819</v>
          </cell>
          <cell r="N8">
            <v>819</v>
          </cell>
        </row>
        <row r="9">
          <cell r="A9" t="str">
            <v>Local Cap. / Student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State Cap. / Student</v>
          </cell>
          <cell r="B10">
            <v>332041</v>
          </cell>
          <cell r="C10">
            <v>332041</v>
          </cell>
          <cell r="D10">
            <v>233908</v>
          </cell>
          <cell r="E10">
            <v>263536</v>
          </cell>
          <cell r="F10">
            <v>290381.5</v>
          </cell>
          <cell r="G10">
            <v>294217</v>
          </cell>
          <cell r="H10">
            <v>289742</v>
          </cell>
          <cell r="I10">
            <v>289742</v>
          </cell>
          <cell r="J10">
            <v>289742</v>
          </cell>
          <cell r="K10">
            <v>289742</v>
          </cell>
          <cell r="L10">
            <v>289742</v>
          </cell>
          <cell r="M10">
            <v>289742</v>
          </cell>
          <cell r="N10">
            <v>3484576.5</v>
          </cell>
          <cell r="P10">
            <v>2035866.5</v>
          </cell>
          <cell r="Q10">
            <v>1448710</v>
          </cell>
          <cell r="R10">
            <v>3484576.5</v>
          </cell>
        </row>
        <row r="11">
          <cell r="A11" t="str">
            <v>State Start-Up Grant</v>
          </cell>
          <cell r="B11">
            <v>9583</v>
          </cell>
          <cell r="C11">
            <v>9583</v>
          </cell>
          <cell r="D11">
            <v>-19166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Fed Cap. / Student</v>
          </cell>
          <cell r="B12">
            <v>11887</v>
          </cell>
          <cell r="C12">
            <v>11887</v>
          </cell>
          <cell r="D12">
            <v>11887</v>
          </cell>
          <cell r="E12">
            <v>11882</v>
          </cell>
          <cell r="F12">
            <v>11053.16</v>
          </cell>
          <cell r="G12">
            <v>11049.16</v>
          </cell>
          <cell r="H12">
            <v>11054</v>
          </cell>
          <cell r="I12">
            <v>11054</v>
          </cell>
          <cell r="J12">
            <v>11054</v>
          </cell>
          <cell r="K12">
            <v>11054</v>
          </cell>
          <cell r="L12">
            <v>11054</v>
          </cell>
          <cell r="M12">
            <v>11054</v>
          </cell>
          <cell r="N12">
            <v>135969.32</v>
          </cell>
          <cell r="P12">
            <v>80699.320000000007</v>
          </cell>
          <cell r="Q12">
            <v>55270</v>
          </cell>
          <cell r="R12">
            <v>135969.32</v>
          </cell>
        </row>
        <row r="13">
          <cell r="A13" t="str">
            <v>Private Grants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5000</v>
          </cell>
          <cell r="L13">
            <v>0</v>
          </cell>
          <cell r="M13">
            <v>25000</v>
          </cell>
          <cell r="N13">
            <v>30000</v>
          </cell>
          <cell r="P13">
            <v>0</v>
          </cell>
          <cell r="Q13">
            <v>30000</v>
          </cell>
          <cell r="R13">
            <v>30000</v>
          </cell>
        </row>
        <row r="14">
          <cell r="A14" t="str">
            <v xml:space="preserve">State Spec Ed 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Fed Spec Ed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Total Earned Capitation</v>
          </cell>
          <cell r="B16">
            <v>353511</v>
          </cell>
          <cell r="C16">
            <v>353511</v>
          </cell>
          <cell r="D16">
            <v>226629</v>
          </cell>
          <cell r="E16">
            <v>275418</v>
          </cell>
          <cell r="F16">
            <v>301434.65999999997</v>
          </cell>
          <cell r="G16">
            <v>305266.15999999997</v>
          </cell>
          <cell r="H16">
            <v>300796</v>
          </cell>
          <cell r="I16">
            <v>300796</v>
          </cell>
          <cell r="J16">
            <v>300796</v>
          </cell>
          <cell r="K16">
            <v>305796</v>
          </cell>
          <cell r="L16">
            <v>300796</v>
          </cell>
          <cell r="M16">
            <v>325796</v>
          </cell>
          <cell r="N16">
            <v>3650545.8200000003</v>
          </cell>
          <cell r="P16">
            <v>2116565.8199999998</v>
          </cell>
          <cell r="Q16">
            <v>1533980</v>
          </cell>
          <cell r="R16">
            <v>3650545.82</v>
          </cell>
        </row>
        <row r="19">
          <cell r="A19" t="str">
            <v>Fed Free Lunch &amp; Breakfast</v>
          </cell>
          <cell r="B19">
            <v>0</v>
          </cell>
          <cell r="C19">
            <v>7200</v>
          </cell>
          <cell r="D19">
            <v>15000</v>
          </cell>
          <cell r="E19">
            <v>52800</v>
          </cell>
          <cell r="F19">
            <v>20228</v>
          </cell>
          <cell r="G19">
            <v>30000</v>
          </cell>
          <cell r="H19">
            <v>30000</v>
          </cell>
          <cell r="I19">
            <v>20000</v>
          </cell>
          <cell r="J19">
            <v>20000</v>
          </cell>
          <cell r="K19">
            <v>20000</v>
          </cell>
          <cell r="L19">
            <v>20000</v>
          </cell>
          <cell r="M19">
            <v>20000</v>
          </cell>
          <cell r="N19">
            <v>255228</v>
          </cell>
          <cell r="P19">
            <v>155228</v>
          </cell>
          <cell r="Q19">
            <v>100000</v>
          </cell>
          <cell r="R19">
            <v>255228</v>
          </cell>
        </row>
        <row r="20">
          <cell r="A20" t="str">
            <v>Fed Reduced Lunch &amp; Bkfst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10433.6505</v>
          </cell>
          <cell r="J20">
            <v>12081.069</v>
          </cell>
          <cell r="K20">
            <v>8786.232</v>
          </cell>
          <cell r="L20">
            <v>10982.79</v>
          </cell>
          <cell r="M20">
            <v>9884.5109999999986</v>
          </cell>
          <cell r="N20">
            <v>52168.252500000002</v>
          </cell>
          <cell r="P20">
            <v>0</v>
          </cell>
          <cell r="Q20">
            <v>52168.252500000002</v>
          </cell>
          <cell r="R20">
            <v>52168.252500000002</v>
          </cell>
        </row>
        <row r="21">
          <cell r="A21" t="str">
            <v>Fed Paying Student Offset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591.3180000000001</v>
          </cell>
          <cell r="J21">
            <v>684.68400000000008</v>
          </cell>
          <cell r="K21">
            <v>497.95200000000006</v>
          </cell>
          <cell r="L21">
            <v>622.44000000000005</v>
          </cell>
          <cell r="M21">
            <v>560.19600000000014</v>
          </cell>
          <cell r="N21">
            <v>2956.5900000000006</v>
          </cell>
          <cell r="P21">
            <v>0</v>
          </cell>
          <cell r="Q21">
            <v>2956.59</v>
          </cell>
          <cell r="R21">
            <v>2956.59</v>
          </cell>
        </row>
        <row r="22">
          <cell r="A22" t="str">
            <v>Student Revs Reduced</v>
          </cell>
          <cell r="B22">
            <v>0</v>
          </cell>
          <cell r="C22">
            <v>375</v>
          </cell>
          <cell r="D22">
            <v>1000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3104.4195</v>
          </cell>
          <cell r="J22">
            <v>3594.5910000000003</v>
          </cell>
          <cell r="K22">
            <v>2614.248</v>
          </cell>
          <cell r="L22">
            <v>3267.81</v>
          </cell>
          <cell r="M22">
            <v>2941.029</v>
          </cell>
          <cell r="N22">
            <v>16897.0975</v>
          </cell>
          <cell r="P22">
            <v>1375</v>
          </cell>
          <cell r="Q22">
            <v>15522.0975</v>
          </cell>
          <cell r="R22">
            <v>16897.0975</v>
          </cell>
        </row>
        <row r="23">
          <cell r="A23" t="str">
            <v>Student Revs Full</v>
          </cell>
          <cell r="B23">
            <v>0</v>
          </cell>
          <cell r="C23">
            <v>300</v>
          </cell>
          <cell r="D23">
            <v>800</v>
          </cell>
          <cell r="E23">
            <v>5025</v>
          </cell>
          <cell r="F23">
            <v>5000</v>
          </cell>
          <cell r="G23">
            <v>5000</v>
          </cell>
          <cell r="H23">
            <v>5000</v>
          </cell>
          <cell r="I23">
            <v>4574.9340000000002</v>
          </cell>
          <cell r="J23">
            <v>5297.2920000000004</v>
          </cell>
          <cell r="K23">
            <v>3852.576</v>
          </cell>
          <cell r="L23">
            <v>4815.7</v>
          </cell>
          <cell r="M23">
            <v>4334.1480000000001</v>
          </cell>
          <cell r="N23">
            <v>43999.65</v>
          </cell>
          <cell r="P23">
            <v>21125</v>
          </cell>
          <cell r="Q23">
            <v>22874.65</v>
          </cell>
          <cell r="R23">
            <v>43999.65</v>
          </cell>
        </row>
        <row r="24">
          <cell r="A24" t="str">
            <v>Total Earned Food Service</v>
          </cell>
          <cell r="B24">
            <v>0</v>
          </cell>
          <cell r="C24">
            <v>7875</v>
          </cell>
          <cell r="D24">
            <v>16800</v>
          </cell>
          <cell r="E24">
            <v>57825</v>
          </cell>
          <cell r="F24">
            <v>25228</v>
          </cell>
          <cell r="G24">
            <v>35000</v>
          </cell>
          <cell r="H24">
            <v>35000</v>
          </cell>
          <cell r="I24">
            <v>38704.322</v>
          </cell>
          <cell r="J24">
            <v>41657.635999999999</v>
          </cell>
          <cell r="K24">
            <v>35751.008000000002</v>
          </cell>
          <cell r="L24">
            <v>39688.74</v>
          </cell>
          <cell r="M24">
            <v>37719.883999999998</v>
          </cell>
          <cell r="N24">
            <v>371249.58999999997</v>
          </cell>
          <cell r="P24">
            <v>177728</v>
          </cell>
          <cell r="Q24">
            <v>193521.59</v>
          </cell>
          <cell r="R24">
            <v>371249.59</v>
          </cell>
        </row>
        <row r="26">
          <cell r="A26" t="str">
            <v>Total Revenues</v>
          </cell>
          <cell r="B26">
            <v>353511</v>
          </cell>
          <cell r="C26">
            <v>361386</v>
          </cell>
          <cell r="D26">
            <v>243429</v>
          </cell>
          <cell r="E26">
            <v>333243</v>
          </cell>
          <cell r="F26">
            <v>326662.65999999997</v>
          </cell>
          <cell r="G26">
            <v>340266.16</v>
          </cell>
          <cell r="H26">
            <v>335796</v>
          </cell>
          <cell r="I26">
            <v>339500.32199999999</v>
          </cell>
          <cell r="J26">
            <v>342453.636</v>
          </cell>
          <cell r="K26">
            <v>341547.00800000003</v>
          </cell>
          <cell r="L26">
            <v>340484.74</v>
          </cell>
          <cell r="M26">
            <v>363515.88400000002</v>
          </cell>
          <cell r="N26">
            <v>4021795.41</v>
          </cell>
          <cell r="P26">
            <v>2294293.8199999998</v>
          </cell>
          <cell r="Q26">
            <v>1727501.59</v>
          </cell>
          <cell r="R26">
            <v>4021795.4099999997</v>
          </cell>
        </row>
        <row r="29">
          <cell r="A29" t="str">
            <v>Salaried Personnel</v>
          </cell>
        </row>
        <row r="30">
          <cell r="A30" t="str">
            <v>School Leadership</v>
          </cell>
          <cell r="B30">
            <v>19502</v>
          </cell>
          <cell r="C30">
            <v>13213</v>
          </cell>
          <cell r="D30">
            <v>14486</v>
          </cell>
          <cell r="E30">
            <v>27604</v>
          </cell>
          <cell r="F30">
            <v>18205</v>
          </cell>
          <cell r="G30">
            <v>2008</v>
          </cell>
          <cell r="H30">
            <v>17757</v>
          </cell>
          <cell r="I30">
            <v>14040</v>
          </cell>
          <cell r="J30">
            <v>14040</v>
          </cell>
          <cell r="K30">
            <v>14040</v>
          </cell>
          <cell r="L30">
            <v>14040</v>
          </cell>
          <cell r="M30">
            <v>14040</v>
          </cell>
          <cell r="N30">
            <v>182975</v>
          </cell>
          <cell r="P30">
            <v>112775</v>
          </cell>
          <cell r="Q30">
            <v>70200</v>
          </cell>
          <cell r="R30">
            <v>182975</v>
          </cell>
        </row>
        <row r="31">
          <cell r="A31" t="str">
            <v>Teacher Salaries - Reg. Educ.</v>
          </cell>
          <cell r="B31">
            <v>53631</v>
          </cell>
          <cell r="C31">
            <v>82104</v>
          </cell>
          <cell r="D31">
            <v>80997</v>
          </cell>
          <cell r="E31">
            <v>81231</v>
          </cell>
          <cell r="F31">
            <v>74034</v>
          </cell>
          <cell r="G31">
            <v>61504</v>
          </cell>
          <cell r="H31">
            <v>103922</v>
          </cell>
          <cell r="I31">
            <v>76180</v>
          </cell>
          <cell r="J31">
            <v>76180</v>
          </cell>
          <cell r="K31">
            <v>76180</v>
          </cell>
          <cell r="L31">
            <v>76180</v>
          </cell>
          <cell r="M31">
            <v>76180</v>
          </cell>
          <cell r="N31">
            <v>918323</v>
          </cell>
          <cell r="P31">
            <v>537423</v>
          </cell>
          <cell r="Q31">
            <v>380900</v>
          </cell>
          <cell r="R31">
            <v>918323</v>
          </cell>
        </row>
        <row r="32">
          <cell r="A32" t="str">
            <v>Teacher Salaries - SPED</v>
          </cell>
          <cell r="B32">
            <v>2500</v>
          </cell>
          <cell r="C32">
            <v>4356</v>
          </cell>
          <cell r="D32">
            <v>6248</v>
          </cell>
          <cell r="E32">
            <v>3271</v>
          </cell>
          <cell r="F32">
            <v>4625</v>
          </cell>
          <cell r="G32">
            <v>3375</v>
          </cell>
          <cell r="H32">
            <v>5958</v>
          </cell>
          <cell r="I32">
            <v>2773.3333333333335</v>
          </cell>
          <cell r="J32">
            <v>2773.3333333333335</v>
          </cell>
          <cell r="K32">
            <v>2773.3333333333335</v>
          </cell>
          <cell r="L32">
            <v>2773.3333333333335</v>
          </cell>
          <cell r="M32">
            <v>2773.3333333333335</v>
          </cell>
          <cell r="N32">
            <v>44199.666666666672</v>
          </cell>
          <cell r="P32">
            <v>30333</v>
          </cell>
          <cell r="Q32">
            <v>13866.666666666668</v>
          </cell>
          <cell r="R32">
            <v>44199.666666666672</v>
          </cell>
        </row>
        <row r="33">
          <cell r="A33" t="str">
            <v>Specialty Teachers</v>
          </cell>
          <cell r="B33">
            <v>8542</v>
          </cell>
          <cell r="C33">
            <v>5355</v>
          </cell>
          <cell r="D33">
            <v>5270</v>
          </cell>
          <cell r="E33">
            <v>12843</v>
          </cell>
          <cell r="F33">
            <v>5605</v>
          </cell>
          <cell r="G33">
            <v>5604</v>
          </cell>
          <cell r="H33">
            <v>6876</v>
          </cell>
          <cell r="I33">
            <v>10400</v>
          </cell>
          <cell r="J33">
            <v>10400</v>
          </cell>
          <cell r="K33">
            <v>10400</v>
          </cell>
          <cell r="L33">
            <v>10400</v>
          </cell>
          <cell r="M33">
            <v>10400</v>
          </cell>
          <cell r="N33">
            <v>102095</v>
          </cell>
          <cell r="P33">
            <v>50095</v>
          </cell>
          <cell r="Q33">
            <v>52000</v>
          </cell>
          <cell r="R33">
            <v>102095</v>
          </cell>
        </row>
        <row r="34">
          <cell r="A34" t="str">
            <v xml:space="preserve">Technology Staff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A35" t="str">
            <v>Instructional Asst.</v>
          </cell>
          <cell r="B35">
            <v>13635</v>
          </cell>
          <cell r="C35">
            <v>21770</v>
          </cell>
          <cell r="D35">
            <v>24174</v>
          </cell>
          <cell r="E35">
            <v>26478</v>
          </cell>
          <cell r="F35">
            <v>24129</v>
          </cell>
          <cell r="G35">
            <v>24694</v>
          </cell>
          <cell r="H35">
            <v>29688</v>
          </cell>
          <cell r="I35">
            <v>20000</v>
          </cell>
          <cell r="J35">
            <v>20000</v>
          </cell>
          <cell r="K35">
            <v>20000</v>
          </cell>
          <cell r="L35">
            <v>20000</v>
          </cell>
          <cell r="M35">
            <v>20000</v>
          </cell>
          <cell r="N35">
            <v>264568</v>
          </cell>
          <cell r="P35">
            <v>164568</v>
          </cell>
          <cell r="Q35">
            <v>100000</v>
          </cell>
          <cell r="R35">
            <v>264568</v>
          </cell>
        </row>
        <row r="36">
          <cell r="A36" t="str">
            <v>Health &amp; Guidance</v>
          </cell>
          <cell r="B36">
            <v>1260</v>
          </cell>
          <cell r="C36">
            <v>1360</v>
          </cell>
          <cell r="D36">
            <v>1825</v>
          </cell>
          <cell r="E36">
            <v>2116</v>
          </cell>
          <cell r="F36">
            <v>1941</v>
          </cell>
          <cell r="G36">
            <v>2242</v>
          </cell>
          <cell r="H36">
            <v>1941</v>
          </cell>
          <cell r="I36">
            <v>2600</v>
          </cell>
          <cell r="J36">
            <v>2600</v>
          </cell>
          <cell r="K36">
            <v>2600</v>
          </cell>
          <cell r="L36">
            <v>2600</v>
          </cell>
          <cell r="M36">
            <v>2600</v>
          </cell>
          <cell r="N36">
            <v>25685</v>
          </cell>
          <cell r="P36">
            <v>12685</v>
          </cell>
          <cell r="Q36">
            <v>13000</v>
          </cell>
          <cell r="R36">
            <v>25685</v>
          </cell>
        </row>
        <row r="37">
          <cell r="A37" t="str">
            <v>Librarian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2127</v>
          </cell>
          <cell r="G37">
            <v>2034</v>
          </cell>
          <cell r="H37">
            <v>2033</v>
          </cell>
          <cell r="I37">
            <v>2253.3333333333335</v>
          </cell>
          <cell r="J37">
            <v>2253.3333333333335</v>
          </cell>
          <cell r="K37">
            <v>2253.3333333333335</v>
          </cell>
          <cell r="L37">
            <v>2253.3333333333335</v>
          </cell>
          <cell r="M37">
            <v>2253.3333333333335</v>
          </cell>
          <cell r="N37">
            <v>17460.666666666668</v>
          </cell>
          <cell r="P37">
            <v>6194</v>
          </cell>
          <cell r="Q37">
            <v>11266.666666666668</v>
          </cell>
          <cell r="R37">
            <v>17460.666666666668</v>
          </cell>
        </row>
        <row r="38">
          <cell r="A38" t="str">
            <v>Total Salaries</v>
          </cell>
          <cell r="B38">
            <v>99070</v>
          </cell>
          <cell r="C38">
            <v>128158</v>
          </cell>
          <cell r="D38">
            <v>133000</v>
          </cell>
          <cell r="E38">
            <v>153543</v>
          </cell>
          <cell r="F38">
            <v>130666</v>
          </cell>
          <cell r="G38">
            <v>101461</v>
          </cell>
          <cell r="H38">
            <v>168175</v>
          </cell>
          <cell r="I38">
            <v>128246.66666666666</v>
          </cell>
          <cell r="J38">
            <v>128246.66666666666</v>
          </cell>
          <cell r="K38">
            <v>128246.66666666666</v>
          </cell>
          <cell r="L38">
            <v>128246.66666666666</v>
          </cell>
          <cell r="M38">
            <v>128246.66666666666</v>
          </cell>
          <cell r="N38">
            <v>1555306.3333333333</v>
          </cell>
          <cell r="P38">
            <v>914073</v>
          </cell>
          <cell r="Q38">
            <v>641233.33333333337</v>
          </cell>
          <cell r="R38">
            <v>1555306.3333333335</v>
          </cell>
        </row>
        <row r="40">
          <cell r="A40" t="str">
            <v>Hourly Wage Personnel</v>
          </cell>
        </row>
        <row r="41">
          <cell r="A41" t="str">
            <v>Administrative Staff</v>
          </cell>
          <cell r="B41">
            <v>4134</v>
          </cell>
          <cell r="C41">
            <v>4034</v>
          </cell>
          <cell r="D41">
            <v>3543</v>
          </cell>
          <cell r="E41">
            <v>7399</v>
          </cell>
          <cell r="F41">
            <v>3777</v>
          </cell>
          <cell r="G41">
            <v>4104</v>
          </cell>
          <cell r="H41">
            <v>7036</v>
          </cell>
          <cell r="I41">
            <v>7036</v>
          </cell>
          <cell r="J41">
            <v>7036</v>
          </cell>
          <cell r="K41">
            <v>7036</v>
          </cell>
          <cell r="L41">
            <v>7036</v>
          </cell>
          <cell r="M41">
            <v>7036</v>
          </cell>
          <cell r="N41">
            <v>69207</v>
          </cell>
          <cell r="P41">
            <v>34027</v>
          </cell>
          <cell r="Q41">
            <v>35180</v>
          </cell>
          <cell r="R41">
            <v>69207</v>
          </cell>
        </row>
        <row r="42">
          <cell r="A42" t="str">
            <v>Custodial Staff</v>
          </cell>
          <cell r="B42">
            <v>1500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750</v>
          </cell>
          <cell r="I42">
            <v>1560</v>
          </cell>
          <cell r="J42">
            <v>1560</v>
          </cell>
          <cell r="K42">
            <v>1560</v>
          </cell>
          <cell r="L42">
            <v>1560</v>
          </cell>
          <cell r="M42">
            <v>1560</v>
          </cell>
          <cell r="N42">
            <v>10050</v>
          </cell>
          <cell r="P42">
            <v>2250</v>
          </cell>
          <cell r="Q42">
            <v>7800</v>
          </cell>
          <cell r="R42">
            <v>10050</v>
          </cell>
        </row>
        <row r="43">
          <cell r="A43" t="str">
            <v>Food Service Staff</v>
          </cell>
          <cell r="B43">
            <v>536</v>
          </cell>
          <cell r="C43">
            <v>891</v>
          </cell>
          <cell r="D43">
            <v>1775</v>
          </cell>
          <cell r="E43">
            <v>3149</v>
          </cell>
          <cell r="F43">
            <v>5293</v>
          </cell>
          <cell r="G43">
            <v>1915</v>
          </cell>
          <cell r="H43">
            <v>3739</v>
          </cell>
          <cell r="I43">
            <v>2080</v>
          </cell>
          <cell r="J43">
            <v>2080</v>
          </cell>
          <cell r="K43">
            <v>2080</v>
          </cell>
          <cell r="L43">
            <v>2080</v>
          </cell>
          <cell r="M43">
            <v>2080</v>
          </cell>
          <cell r="N43">
            <v>27698</v>
          </cell>
          <cell r="P43">
            <v>17298</v>
          </cell>
          <cell r="Q43">
            <v>10400</v>
          </cell>
          <cell r="R43">
            <v>27698</v>
          </cell>
        </row>
        <row r="44">
          <cell r="A44" t="str">
            <v>Other School Staff</v>
          </cell>
          <cell r="B44">
            <v>2000</v>
          </cell>
          <cell r="C44">
            <v>3880</v>
          </cell>
          <cell r="D44">
            <v>22447</v>
          </cell>
          <cell r="E44">
            <v>2918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31245</v>
          </cell>
          <cell r="P44">
            <v>31245</v>
          </cell>
          <cell r="Q44">
            <v>0</v>
          </cell>
          <cell r="R44">
            <v>31245</v>
          </cell>
        </row>
        <row r="45">
          <cell r="A45" t="str">
            <v>Temporary Staff</v>
          </cell>
          <cell r="B45">
            <v>2480</v>
          </cell>
          <cell r="C45">
            <v>4148</v>
          </cell>
          <cell r="D45">
            <v>10033</v>
          </cell>
          <cell r="E45">
            <v>4890</v>
          </cell>
          <cell r="F45">
            <v>8320</v>
          </cell>
          <cell r="G45">
            <v>4700</v>
          </cell>
          <cell r="H45">
            <v>4519</v>
          </cell>
          <cell r="I45">
            <v>1050</v>
          </cell>
          <cell r="J45">
            <v>1050</v>
          </cell>
          <cell r="K45">
            <v>1050</v>
          </cell>
          <cell r="L45">
            <v>1050</v>
          </cell>
          <cell r="M45">
            <v>1050</v>
          </cell>
          <cell r="N45">
            <v>44340</v>
          </cell>
          <cell r="P45">
            <v>39090</v>
          </cell>
          <cell r="Q45">
            <v>5250</v>
          </cell>
          <cell r="R45">
            <v>44340</v>
          </cell>
        </row>
        <row r="46">
          <cell r="A46" t="str">
            <v>Total Hourly Wages</v>
          </cell>
          <cell r="B46">
            <v>10650</v>
          </cell>
          <cell r="C46">
            <v>12953</v>
          </cell>
          <cell r="D46">
            <v>37798</v>
          </cell>
          <cell r="E46">
            <v>18356</v>
          </cell>
          <cell r="F46">
            <v>17390</v>
          </cell>
          <cell r="G46">
            <v>10719</v>
          </cell>
          <cell r="H46">
            <v>16044</v>
          </cell>
          <cell r="I46">
            <v>11726</v>
          </cell>
          <cell r="J46">
            <v>11726</v>
          </cell>
          <cell r="K46">
            <v>11726</v>
          </cell>
          <cell r="L46">
            <v>11726</v>
          </cell>
          <cell r="M46">
            <v>11726</v>
          </cell>
          <cell r="N46">
            <v>182540</v>
          </cell>
          <cell r="P46">
            <v>123910</v>
          </cell>
          <cell r="Q46">
            <v>58630</v>
          </cell>
          <cell r="R46">
            <v>182540</v>
          </cell>
        </row>
        <row r="48">
          <cell r="A48" t="str">
            <v>Taxes &amp; Benefits</v>
          </cell>
        </row>
        <row r="49">
          <cell r="A49" t="str">
            <v>Group Insurance &amp; Other</v>
          </cell>
          <cell r="B49">
            <v>335</v>
          </cell>
          <cell r="C49">
            <v>11091</v>
          </cell>
          <cell r="D49">
            <v>13335</v>
          </cell>
          <cell r="E49">
            <v>13539</v>
          </cell>
          <cell r="F49">
            <v>32083</v>
          </cell>
          <cell r="G49">
            <v>50163</v>
          </cell>
          <cell r="H49">
            <v>22933</v>
          </cell>
          <cell r="I49">
            <v>19878.233333333334</v>
          </cell>
          <cell r="J49">
            <v>19878.233333333334</v>
          </cell>
          <cell r="K49">
            <v>19878.233333333334</v>
          </cell>
          <cell r="L49">
            <v>29878.233333333301</v>
          </cell>
          <cell r="M49">
            <v>29878.233333333301</v>
          </cell>
          <cell r="N49">
            <v>262870.16666666663</v>
          </cell>
          <cell r="P49">
            <v>143479</v>
          </cell>
          <cell r="Q49">
            <v>119391.1666666666</v>
          </cell>
          <cell r="R49">
            <v>262870.16666666663</v>
          </cell>
        </row>
        <row r="50">
          <cell r="A50" t="str">
            <v>Worker's Compensation</v>
          </cell>
          <cell r="B50">
            <v>518</v>
          </cell>
          <cell r="C50">
            <v>518</v>
          </cell>
          <cell r="D50">
            <v>518</v>
          </cell>
          <cell r="E50">
            <v>-733</v>
          </cell>
          <cell r="F50">
            <v>204</v>
          </cell>
          <cell r="G50">
            <v>203</v>
          </cell>
          <cell r="H50">
            <v>-641</v>
          </cell>
          <cell r="I50">
            <v>686.7833333333333</v>
          </cell>
          <cell r="J50">
            <v>686.7833333333333</v>
          </cell>
          <cell r="K50">
            <v>686.7833333333333</v>
          </cell>
          <cell r="L50">
            <v>686.7833333333333</v>
          </cell>
          <cell r="M50">
            <v>686.7833333333333</v>
          </cell>
          <cell r="N50">
            <v>4020.9166666666665</v>
          </cell>
          <cell r="P50">
            <v>587</v>
          </cell>
          <cell r="Q50">
            <v>3433.9166666666665</v>
          </cell>
          <cell r="R50">
            <v>4020.9166666666665</v>
          </cell>
        </row>
        <row r="51">
          <cell r="A51" t="str">
            <v>Payroll Taxes</v>
          </cell>
          <cell r="B51">
            <v>8377</v>
          </cell>
          <cell r="C51">
            <v>13014</v>
          </cell>
          <cell r="D51">
            <v>15481</v>
          </cell>
          <cell r="E51">
            <v>13449</v>
          </cell>
          <cell r="F51">
            <v>12419</v>
          </cell>
          <cell r="G51">
            <v>5341</v>
          </cell>
          <cell r="H51">
            <v>18774</v>
          </cell>
          <cell r="I51">
            <v>10782.498333333331</v>
          </cell>
          <cell r="J51">
            <v>10782.498333333331</v>
          </cell>
          <cell r="K51">
            <v>10782.498333333331</v>
          </cell>
          <cell r="L51">
            <v>10782.498333333331</v>
          </cell>
          <cell r="M51">
            <v>10782.498333333331</v>
          </cell>
          <cell r="N51">
            <v>140767.49166666664</v>
          </cell>
          <cell r="P51">
            <v>86855</v>
          </cell>
          <cell r="Q51">
            <v>53912.491666666654</v>
          </cell>
          <cell r="R51">
            <v>140767.49166666664</v>
          </cell>
        </row>
        <row r="52">
          <cell r="A52" t="str">
            <v>Total Taxes &amp; Benefits</v>
          </cell>
          <cell r="B52">
            <v>9230</v>
          </cell>
          <cell r="C52">
            <v>24623</v>
          </cell>
          <cell r="D52">
            <v>29334</v>
          </cell>
          <cell r="E52">
            <v>26255</v>
          </cell>
          <cell r="F52">
            <v>44706</v>
          </cell>
          <cell r="G52">
            <v>55707</v>
          </cell>
          <cell r="H52">
            <v>41066</v>
          </cell>
          <cell r="I52">
            <v>31347.514999999999</v>
          </cell>
          <cell r="J52">
            <v>31347.514999999999</v>
          </cell>
          <cell r="K52">
            <v>31347.514999999999</v>
          </cell>
          <cell r="L52">
            <v>41347.514999999963</v>
          </cell>
          <cell r="M52">
            <v>41347.514999999963</v>
          </cell>
          <cell r="N52">
            <v>407658.57499999995</v>
          </cell>
          <cell r="P52">
            <v>230921</v>
          </cell>
          <cell r="Q52">
            <v>176737.57499999992</v>
          </cell>
          <cell r="R52">
            <v>407658.57499999995</v>
          </cell>
        </row>
        <row r="54">
          <cell r="A54" t="str">
            <v>Contracted SPED - Instruction</v>
          </cell>
          <cell r="B54">
            <v>0</v>
          </cell>
          <cell r="C54">
            <v>0</v>
          </cell>
          <cell r="D54">
            <v>0</v>
          </cell>
          <cell r="E54">
            <v>15397</v>
          </cell>
          <cell r="F54">
            <v>0</v>
          </cell>
          <cell r="G54">
            <v>0</v>
          </cell>
          <cell r="H54">
            <v>0</v>
          </cell>
          <cell r="I54">
            <v>2730</v>
          </cell>
          <cell r="J54">
            <v>2730</v>
          </cell>
          <cell r="K54">
            <v>2730</v>
          </cell>
          <cell r="L54">
            <v>2730</v>
          </cell>
          <cell r="M54">
            <v>2730</v>
          </cell>
          <cell r="N54">
            <v>29047</v>
          </cell>
          <cell r="P54">
            <v>15397</v>
          </cell>
          <cell r="Q54">
            <v>13650</v>
          </cell>
          <cell r="R54">
            <v>29047</v>
          </cell>
        </row>
        <row r="56">
          <cell r="A56" t="str">
            <v>Total Cost of Compensation</v>
          </cell>
          <cell r="B56">
            <v>118950</v>
          </cell>
          <cell r="C56">
            <v>165734</v>
          </cell>
          <cell r="D56">
            <v>200132</v>
          </cell>
          <cell r="E56">
            <v>213551</v>
          </cell>
          <cell r="F56">
            <v>192762</v>
          </cell>
          <cell r="G56">
            <v>167887</v>
          </cell>
          <cell r="H56">
            <v>225285</v>
          </cell>
          <cell r="I56">
            <v>174050.18166666664</v>
          </cell>
          <cell r="J56">
            <v>174050.18166666664</v>
          </cell>
          <cell r="K56">
            <v>174050.18166666664</v>
          </cell>
          <cell r="L56">
            <v>184050.18166666661</v>
          </cell>
          <cell r="M56">
            <v>184050.18166666661</v>
          </cell>
          <cell r="N56">
            <v>2174551.9083333332</v>
          </cell>
          <cell r="P56">
            <v>1284301</v>
          </cell>
          <cell r="Q56">
            <v>890250.90833333333</v>
          </cell>
          <cell r="R56">
            <v>2174551.9083333332</v>
          </cell>
        </row>
        <row r="58">
          <cell r="A58" t="str">
            <v>Revenues Less Total Compensation</v>
          </cell>
          <cell r="B58">
            <v>234561</v>
          </cell>
          <cell r="C58">
            <v>195652</v>
          </cell>
          <cell r="D58">
            <v>43297</v>
          </cell>
          <cell r="E58">
            <v>119692</v>
          </cell>
          <cell r="F58">
            <v>133900.65999999997</v>
          </cell>
          <cell r="G58">
            <v>172379.15999999997</v>
          </cell>
          <cell r="H58">
            <v>110511</v>
          </cell>
          <cell r="I58">
            <v>165450.14033333334</v>
          </cell>
          <cell r="J58">
            <v>168403.45433333336</v>
          </cell>
          <cell r="K58">
            <v>167496.82633333339</v>
          </cell>
          <cell r="L58">
            <v>156434.55833333338</v>
          </cell>
          <cell r="M58">
            <v>179465.70233333341</v>
          </cell>
          <cell r="N58">
            <v>1847243.5016666667</v>
          </cell>
          <cell r="P58">
            <v>1009992.8199999998</v>
          </cell>
          <cell r="Q58">
            <v>837250.68166666676</v>
          </cell>
          <cell r="R58">
            <v>1847243.5016666665</v>
          </cell>
        </row>
        <row r="60">
          <cell r="A60" t="str">
            <v>Professional Services</v>
          </cell>
        </row>
        <row r="61">
          <cell r="A61" t="str">
            <v>Legal Fees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364</v>
          </cell>
          <cell r="J61">
            <v>364</v>
          </cell>
          <cell r="K61">
            <v>364</v>
          </cell>
          <cell r="L61">
            <v>364</v>
          </cell>
          <cell r="M61">
            <v>364</v>
          </cell>
          <cell r="N61">
            <v>1820</v>
          </cell>
          <cell r="P61">
            <v>0</v>
          </cell>
          <cell r="Q61">
            <v>1820</v>
          </cell>
          <cell r="R61">
            <v>1820</v>
          </cell>
        </row>
        <row r="62">
          <cell r="A62" t="str">
            <v>Accounting Services</v>
          </cell>
          <cell r="B62">
            <v>198</v>
          </cell>
          <cell r="C62">
            <v>752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409.5</v>
          </cell>
          <cell r="J62">
            <v>409.5</v>
          </cell>
          <cell r="K62">
            <v>409.5</v>
          </cell>
          <cell r="L62">
            <v>409.5</v>
          </cell>
          <cell r="M62">
            <v>409.5</v>
          </cell>
          <cell r="N62">
            <v>2997.5</v>
          </cell>
          <cell r="P62">
            <v>950</v>
          </cell>
          <cell r="Q62">
            <v>2047.5</v>
          </cell>
          <cell r="R62">
            <v>2997.5</v>
          </cell>
        </row>
        <row r="63">
          <cell r="A63" t="str">
            <v>Consulting Fees</v>
          </cell>
          <cell r="B63">
            <v>713</v>
          </cell>
          <cell r="C63">
            <v>8937</v>
          </cell>
          <cell r="D63">
            <v>2723</v>
          </cell>
          <cell r="E63">
            <v>-12373</v>
          </cell>
          <cell r="F63">
            <v>480</v>
          </cell>
          <cell r="G63">
            <v>0</v>
          </cell>
          <cell r="H63">
            <v>4713</v>
          </cell>
          <cell r="I63">
            <v>1820</v>
          </cell>
          <cell r="J63">
            <v>1820</v>
          </cell>
          <cell r="K63">
            <v>1820</v>
          </cell>
          <cell r="L63">
            <v>1820</v>
          </cell>
          <cell r="M63">
            <v>1820</v>
          </cell>
          <cell r="N63">
            <v>14293</v>
          </cell>
          <cell r="P63">
            <v>5193</v>
          </cell>
          <cell r="Q63">
            <v>9100</v>
          </cell>
          <cell r="R63">
            <v>14293</v>
          </cell>
        </row>
        <row r="64">
          <cell r="A64" t="str">
            <v>Bank Service Fees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136.5</v>
          </cell>
          <cell r="J64">
            <v>136.5</v>
          </cell>
          <cell r="K64">
            <v>136.5</v>
          </cell>
          <cell r="L64">
            <v>136.5</v>
          </cell>
          <cell r="M64">
            <v>136.5</v>
          </cell>
          <cell r="N64">
            <v>682.5</v>
          </cell>
          <cell r="P64">
            <v>0</v>
          </cell>
          <cell r="Q64">
            <v>682.5</v>
          </cell>
          <cell r="R64">
            <v>682.5</v>
          </cell>
        </row>
        <row r="65">
          <cell r="A65" t="str">
            <v>Computer Service Fees</v>
          </cell>
          <cell r="B65">
            <v>482</v>
          </cell>
          <cell r="C65">
            <v>482</v>
          </cell>
          <cell r="D65">
            <v>482</v>
          </cell>
          <cell r="E65">
            <v>0</v>
          </cell>
          <cell r="F65">
            <v>0</v>
          </cell>
          <cell r="G65">
            <v>965</v>
          </cell>
          <cell r="H65">
            <v>1703</v>
          </cell>
          <cell r="I65">
            <v>750</v>
          </cell>
          <cell r="J65">
            <v>750</v>
          </cell>
          <cell r="K65">
            <v>750</v>
          </cell>
          <cell r="L65">
            <v>750</v>
          </cell>
          <cell r="M65">
            <v>750</v>
          </cell>
          <cell r="N65">
            <v>7864</v>
          </cell>
          <cell r="P65">
            <v>4114</v>
          </cell>
          <cell r="Q65">
            <v>3750</v>
          </cell>
          <cell r="R65">
            <v>7864</v>
          </cell>
        </row>
        <row r="66">
          <cell r="A66" t="str">
            <v>Temporary Agency Fees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 t="str">
            <v>Recruiting Fees</v>
          </cell>
          <cell r="B67">
            <v>0</v>
          </cell>
          <cell r="C67">
            <v>779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1820</v>
          </cell>
          <cell r="L67">
            <v>1820</v>
          </cell>
          <cell r="M67">
            <v>1820</v>
          </cell>
          <cell r="N67">
            <v>6239</v>
          </cell>
          <cell r="P67">
            <v>779</v>
          </cell>
          <cell r="Q67">
            <v>5460</v>
          </cell>
          <cell r="R67">
            <v>6239</v>
          </cell>
        </row>
        <row r="68">
          <cell r="A68" t="str">
            <v>School Management Fees</v>
          </cell>
          <cell r="B68">
            <v>58283</v>
          </cell>
          <cell r="C68">
            <v>63568</v>
          </cell>
          <cell r="D68">
            <v>83551</v>
          </cell>
          <cell r="E68">
            <v>73313</v>
          </cell>
          <cell r="F68">
            <v>71865</v>
          </cell>
          <cell r="G68">
            <v>74859</v>
          </cell>
          <cell r="H68">
            <v>73875</v>
          </cell>
          <cell r="I68">
            <v>74690.07084</v>
          </cell>
          <cell r="J68">
            <v>75339.799920000005</v>
          </cell>
          <cell r="K68">
            <v>75140.34176000001</v>
          </cell>
          <cell r="L68">
            <v>74906.642800000001</v>
          </cell>
          <cell r="M68">
            <v>79973.494480000008</v>
          </cell>
          <cell r="N68">
            <v>879364.34979999997</v>
          </cell>
          <cell r="P68">
            <v>499314</v>
          </cell>
          <cell r="Q68">
            <v>380050.34980000003</v>
          </cell>
          <cell r="R68">
            <v>879364.34979999997</v>
          </cell>
        </row>
        <row r="69">
          <cell r="A69" t="str">
            <v xml:space="preserve">Marketing &amp; Enrollment Fees 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300</v>
          </cell>
          <cell r="L69">
            <v>300</v>
          </cell>
          <cell r="M69">
            <v>300</v>
          </cell>
          <cell r="N69">
            <v>900</v>
          </cell>
          <cell r="P69">
            <v>0</v>
          </cell>
          <cell r="Q69">
            <v>900</v>
          </cell>
          <cell r="R69">
            <v>900</v>
          </cell>
        </row>
        <row r="70">
          <cell r="A70" t="str">
            <v>Local Advertising Fund</v>
          </cell>
          <cell r="B70">
            <v>1479</v>
          </cell>
          <cell r="C70">
            <v>304</v>
          </cell>
          <cell r="D70">
            <v>0</v>
          </cell>
          <cell r="E70">
            <v>0</v>
          </cell>
          <cell r="F70">
            <v>90</v>
          </cell>
          <cell r="G70">
            <v>-290</v>
          </cell>
          <cell r="H70">
            <v>-265</v>
          </cell>
          <cell r="I70">
            <v>0</v>
          </cell>
          <cell r="J70">
            <v>0</v>
          </cell>
          <cell r="K70">
            <v>500</v>
          </cell>
          <cell r="L70">
            <v>1000</v>
          </cell>
          <cell r="M70">
            <v>3500</v>
          </cell>
          <cell r="N70">
            <v>6318</v>
          </cell>
          <cell r="P70">
            <v>1318</v>
          </cell>
          <cell r="Q70">
            <v>5000</v>
          </cell>
          <cell r="R70">
            <v>6318</v>
          </cell>
        </row>
        <row r="71">
          <cell r="B71">
            <v>61155</v>
          </cell>
          <cell r="C71">
            <v>74822</v>
          </cell>
          <cell r="D71">
            <v>86756</v>
          </cell>
          <cell r="E71">
            <v>60940</v>
          </cell>
          <cell r="F71">
            <v>72435</v>
          </cell>
          <cell r="G71">
            <v>75534</v>
          </cell>
          <cell r="H71">
            <v>80026</v>
          </cell>
          <cell r="I71">
            <v>78170.07084</v>
          </cell>
          <cell r="J71">
            <v>78819.799920000005</v>
          </cell>
          <cell r="K71">
            <v>81240.34176000001</v>
          </cell>
          <cell r="L71">
            <v>81506.642800000001</v>
          </cell>
          <cell r="M71">
            <v>89073.494480000008</v>
          </cell>
          <cell r="N71">
            <v>920478.34979999997</v>
          </cell>
          <cell r="P71">
            <v>511668</v>
          </cell>
          <cell r="Q71">
            <v>408810.34980000003</v>
          </cell>
          <cell r="R71">
            <v>920478.34979999997</v>
          </cell>
        </row>
        <row r="73">
          <cell r="A73" t="str">
            <v>Vendor Services</v>
          </cell>
        </row>
        <row r="74">
          <cell r="A74" t="str">
            <v>Contracted Pupil Transportation</v>
          </cell>
          <cell r="B74">
            <v>244</v>
          </cell>
          <cell r="C74">
            <v>19800</v>
          </cell>
          <cell r="D74">
            <v>20146</v>
          </cell>
          <cell r="E74">
            <v>19962</v>
          </cell>
          <cell r="F74">
            <v>30909</v>
          </cell>
          <cell r="G74">
            <v>39288</v>
          </cell>
          <cell r="H74">
            <v>35989</v>
          </cell>
          <cell r="I74">
            <v>35000</v>
          </cell>
          <cell r="J74">
            <v>35000</v>
          </cell>
          <cell r="K74">
            <v>35000</v>
          </cell>
          <cell r="L74">
            <v>35000</v>
          </cell>
          <cell r="M74">
            <v>35000</v>
          </cell>
          <cell r="N74">
            <v>341338</v>
          </cell>
          <cell r="P74">
            <v>166338</v>
          </cell>
          <cell r="Q74">
            <v>175000</v>
          </cell>
          <cell r="R74">
            <v>341338</v>
          </cell>
        </row>
        <row r="75">
          <cell r="A75" t="str">
            <v>Contracted Food Service</v>
          </cell>
          <cell r="B75">
            <v>0</v>
          </cell>
          <cell r="C75">
            <v>7875</v>
          </cell>
          <cell r="D75">
            <v>13854</v>
          </cell>
          <cell r="E75">
            <v>43457</v>
          </cell>
          <cell r="F75">
            <v>27671</v>
          </cell>
          <cell r="G75">
            <v>71018</v>
          </cell>
          <cell r="H75">
            <v>44069</v>
          </cell>
          <cell r="I75">
            <v>46107.242999999995</v>
          </cell>
          <cell r="J75">
            <v>53387.333999999995</v>
          </cell>
          <cell r="K75">
            <v>38827.152000000002</v>
          </cell>
          <cell r="L75">
            <v>48533.94</v>
          </cell>
          <cell r="M75">
            <v>43680.546000000002</v>
          </cell>
          <cell r="N75">
            <v>438480.21499999997</v>
          </cell>
          <cell r="P75">
            <v>207944</v>
          </cell>
          <cell r="Q75">
            <v>230536.215</v>
          </cell>
          <cell r="R75">
            <v>438480.21499999997</v>
          </cell>
        </row>
        <row r="76">
          <cell r="A76" t="str">
            <v>Contracted SPED - Non-Instruction</v>
          </cell>
          <cell r="B76">
            <v>0</v>
          </cell>
          <cell r="C76">
            <v>0</v>
          </cell>
          <cell r="D76">
            <v>0</v>
          </cell>
          <cell r="E76">
            <v>661</v>
          </cell>
          <cell r="F76">
            <v>2183</v>
          </cell>
          <cell r="G76">
            <v>1507</v>
          </cell>
          <cell r="H76">
            <v>2595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6946</v>
          </cell>
          <cell r="P76">
            <v>6946</v>
          </cell>
          <cell r="Q76">
            <v>0</v>
          </cell>
          <cell r="R76">
            <v>6946</v>
          </cell>
        </row>
        <row r="77">
          <cell r="A77" t="str">
            <v>Contracted Custodial Services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6390</v>
          </cell>
          <cell r="H77">
            <v>0</v>
          </cell>
          <cell r="I77">
            <v>1958.6666666666667</v>
          </cell>
          <cell r="J77">
            <v>1958.6666666666667</v>
          </cell>
          <cell r="K77">
            <v>1958.6666666666667</v>
          </cell>
          <cell r="L77">
            <v>1958.6666666666667</v>
          </cell>
          <cell r="M77">
            <v>1958.6666666666667</v>
          </cell>
          <cell r="N77">
            <v>16183.333333333334</v>
          </cell>
          <cell r="P77">
            <v>6390</v>
          </cell>
          <cell r="Q77">
            <v>9793.3333333333339</v>
          </cell>
          <cell r="R77">
            <v>16183.333333333334</v>
          </cell>
        </row>
        <row r="78">
          <cell r="A78" t="str">
            <v>Contracted Maintenance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B79">
            <v>244</v>
          </cell>
          <cell r="C79">
            <v>27675</v>
          </cell>
          <cell r="D79">
            <v>34000</v>
          </cell>
          <cell r="E79">
            <v>64080</v>
          </cell>
          <cell r="F79">
            <v>60763</v>
          </cell>
          <cell r="G79">
            <v>118203</v>
          </cell>
          <cell r="H79">
            <v>82653</v>
          </cell>
          <cell r="I79">
            <v>83065.909666666659</v>
          </cell>
          <cell r="J79">
            <v>90346.000666666674</v>
          </cell>
          <cell r="K79">
            <v>75785.818666666673</v>
          </cell>
          <cell r="L79">
            <v>85492.606666666674</v>
          </cell>
          <cell r="M79">
            <v>80639.212666666674</v>
          </cell>
          <cell r="N79">
            <v>802947.54833333334</v>
          </cell>
          <cell r="P79">
            <v>387618</v>
          </cell>
          <cell r="Q79">
            <v>415329.54833333328</v>
          </cell>
          <cell r="R79">
            <v>802947.54833333334</v>
          </cell>
        </row>
        <row r="81">
          <cell r="A81" t="str">
            <v>Administrative Expenses</v>
          </cell>
        </row>
        <row r="82">
          <cell r="A82" t="str">
            <v>Travel/Auto</v>
          </cell>
          <cell r="B82">
            <v>0</v>
          </cell>
          <cell r="C82">
            <v>0</v>
          </cell>
          <cell r="D82">
            <v>581</v>
          </cell>
          <cell r="E82">
            <v>350</v>
          </cell>
          <cell r="F82">
            <v>0</v>
          </cell>
          <cell r="G82">
            <v>0</v>
          </cell>
          <cell r="H82">
            <v>1385</v>
          </cell>
          <cell r="I82">
            <v>114</v>
          </cell>
          <cell r="J82">
            <v>114</v>
          </cell>
          <cell r="K82">
            <v>114</v>
          </cell>
          <cell r="L82">
            <v>114</v>
          </cell>
          <cell r="M82">
            <v>114</v>
          </cell>
          <cell r="N82">
            <v>2886</v>
          </cell>
          <cell r="P82">
            <v>2316</v>
          </cell>
          <cell r="Q82">
            <v>570</v>
          </cell>
          <cell r="R82">
            <v>2886</v>
          </cell>
        </row>
        <row r="83">
          <cell r="A83" t="str">
            <v>Airfare</v>
          </cell>
          <cell r="B83">
            <v>0</v>
          </cell>
          <cell r="C83">
            <v>285</v>
          </cell>
          <cell r="D83">
            <v>990</v>
          </cell>
          <cell r="E83">
            <v>0</v>
          </cell>
          <cell r="F83">
            <v>0</v>
          </cell>
          <cell r="G83">
            <v>-285</v>
          </cell>
          <cell r="H83">
            <v>149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1139</v>
          </cell>
          <cell r="P83">
            <v>1139</v>
          </cell>
          <cell r="Q83">
            <v>0</v>
          </cell>
          <cell r="R83">
            <v>1139</v>
          </cell>
        </row>
        <row r="84">
          <cell r="A84" t="str">
            <v>Meals</v>
          </cell>
          <cell r="B84">
            <v>0</v>
          </cell>
          <cell r="C84">
            <v>80</v>
          </cell>
          <cell r="D84">
            <v>277</v>
          </cell>
          <cell r="E84">
            <v>0</v>
          </cell>
          <cell r="F84">
            <v>0</v>
          </cell>
          <cell r="G84">
            <v>0</v>
          </cell>
          <cell r="H84">
            <v>72</v>
          </cell>
          <cell r="I84">
            <v>85.5</v>
          </cell>
          <cell r="J84">
            <v>85.5</v>
          </cell>
          <cell r="K84">
            <v>85.5</v>
          </cell>
          <cell r="L84">
            <v>85.5</v>
          </cell>
          <cell r="M84">
            <v>85.5</v>
          </cell>
          <cell r="N84">
            <v>856.5</v>
          </cell>
          <cell r="P84">
            <v>429</v>
          </cell>
          <cell r="Q84">
            <v>427.5</v>
          </cell>
          <cell r="R84">
            <v>856.5</v>
          </cell>
        </row>
        <row r="85">
          <cell r="A85" t="str">
            <v>Lodging</v>
          </cell>
          <cell r="B85">
            <v>0</v>
          </cell>
          <cell r="C85">
            <v>0</v>
          </cell>
          <cell r="D85">
            <v>698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142.5</v>
          </cell>
          <cell r="J85">
            <v>142.5</v>
          </cell>
          <cell r="K85">
            <v>142.5</v>
          </cell>
          <cell r="L85">
            <v>142.5</v>
          </cell>
          <cell r="M85">
            <v>142.5</v>
          </cell>
          <cell r="N85">
            <v>1410.5</v>
          </cell>
          <cell r="P85">
            <v>698</v>
          </cell>
          <cell r="Q85">
            <v>712.5</v>
          </cell>
          <cell r="R85">
            <v>1410.5</v>
          </cell>
        </row>
        <row r="86">
          <cell r="A86" t="str">
            <v>Business Expense - Other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Dues &amp; Subscriptions</v>
          </cell>
          <cell r="B87">
            <v>0</v>
          </cell>
          <cell r="C87">
            <v>0</v>
          </cell>
          <cell r="D87">
            <v>32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114</v>
          </cell>
          <cell r="J87">
            <v>114</v>
          </cell>
          <cell r="K87">
            <v>114</v>
          </cell>
          <cell r="L87">
            <v>114</v>
          </cell>
          <cell r="M87">
            <v>114</v>
          </cell>
          <cell r="N87">
            <v>602</v>
          </cell>
          <cell r="P87">
            <v>32</v>
          </cell>
          <cell r="Q87">
            <v>570</v>
          </cell>
          <cell r="R87">
            <v>602</v>
          </cell>
        </row>
        <row r="88">
          <cell r="A88" t="str">
            <v>Printing</v>
          </cell>
          <cell r="B88">
            <v>2315</v>
          </cell>
          <cell r="C88">
            <v>170</v>
          </cell>
          <cell r="D88">
            <v>0</v>
          </cell>
          <cell r="E88">
            <v>1349</v>
          </cell>
          <cell r="F88">
            <v>0</v>
          </cell>
          <cell r="G88">
            <v>0</v>
          </cell>
          <cell r="H88">
            <v>0</v>
          </cell>
          <cell r="I88">
            <v>1228.5</v>
          </cell>
          <cell r="J88">
            <v>1228.5</v>
          </cell>
          <cell r="K88">
            <v>1228.5</v>
          </cell>
          <cell r="L88">
            <v>1228.5</v>
          </cell>
          <cell r="M88">
            <v>1228.5</v>
          </cell>
          <cell r="N88">
            <v>9976.5</v>
          </cell>
          <cell r="P88">
            <v>3834</v>
          </cell>
          <cell r="Q88">
            <v>6142.5</v>
          </cell>
          <cell r="R88">
            <v>9976.5</v>
          </cell>
        </row>
        <row r="89">
          <cell r="A89" t="str">
            <v>Office Supplies</v>
          </cell>
          <cell r="B89">
            <v>1862</v>
          </cell>
          <cell r="C89">
            <v>2075</v>
          </cell>
          <cell r="D89">
            <v>4898</v>
          </cell>
          <cell r="E89">
            <v>7594</v>
          </cell>
          <cell r="F89">
            <v>1500</v>
          </cell>
          <cell r="G89">
            <v>9193</v>
          </cell>
          <cell r="H89">
            <v>723</v>
          </cell>
          <cell r="I89">
            <v>1456</v>
          </cell>
          <cell r="J89">
            <v>1456</v>
          </cell>
          <cell r="K89">
            <v>1456</v>
          </cell>
          <cell r="L89">
            <v>1456</v>
          </cell>
          <cell r="M89">
            <v>1456</v>
          </cell>
          <cell r="N89">
            <v>35125</v>
          </cell>
          <cell r="P89">
            <v>27845</v>
          </cell>
          <cell r="Q89">
            <v>7280</v>
          </cell>
          <cell r="R89">
            <v>35125</v>
          </cell>
        </row>
        <row r="90">
          <cell r="A90" t="str">
            <v>In-house Food Service - Cost of Food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A91" t="str">
            <v>Food Service - Paper and Smallwares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A92" t="str">
            <v>Medical Supplies</v>
          </cell>
          <cell r="B92">
            <v>0</v>
          </cell>
          <cell r="C92">
            <v>0</v>
          </cell>
          <cell r="D92">
            <v>0</v>
          </cell>
          <cell r="E92">
            <v>1201</v>
          </cell>
          <cell r="F92">
            <v>0</v>
          </cell>
          <cell r="G92">
            <v>196</v>
          </cell>
          <cell r="H92">
            <v>43</v>
          </cell>
          <cell r="I92">
            <v>204.75</v>
          </cell>
          <cell r="J92">
            <v>204.75</v>
          </cell>
          <cell r="K92">
            <v>204.75</v>
          </cell>
          <cell r="L92">
            <v>204.75</v>
          </cell>
          <cell r="M92">
            <v>204.75</v>
          </cell>
          <cell r="N92">
            <v>2463.75</v>
          </cell>
          <cell r="P92">
            <v>1440</v>
          </cell>
          <cell r="Q92">
            <v>1023.75</v>
          </cell>
          <cell r="R92">
            <v>2463.75</v>
          </cell>
        </row>
        <row r="93">
          <cell r="B93">
            <v>4177</v>
          </cell>
          <cell r="C93">
            <v>2610</v>
          </cell>
          <cell r="D93">
            <v>7476</v>
          </cell>
          <cell r="E93">
            <v>10494</v>
          </cell>
          <cell r="F93">
            <v>1500</v>
          </cell>
          <cell r="G93">
            <v>9104</v>
          </cell>
          <cell r="H93">
            <v>2372</v>
          </cell>
          <cell r="I93">
            <v>3345.25</v>
          </cell>
          <cell r="J93">
            <v>3345.25</v>
          </cell>
          <cell r="K93">
            <v>3345.25</v>
          </cell>
          <cell r="L93">
            <v>3345.25</v>
          </cell>
          <cell r="M93">
            <v>3345.25</v>
          </cell>
          <cell r="N93">
            <v>54459.25</v>
          </cell>
          <cell r="P93">
            <v>37733</v>
          </cell>
          <cell r="Q93">
            <v>16726.25</v>
          </cell>
          <cell r="R93">
            <v>54459.25</v>
          </cell>
        </row>
        <row r="95">
          <cell r="A95" t="str">
            <v>Instruction Expense</v>
          </cell>
        </row>
        <row r="96">
          <cell r="A96" t="str">
            <v>Textbooks</v>
          </cell>
          <cell r="B96">
            <v>0</v>
          </cell>
          <cell r="C96">
            <v>347</v>
          </cell>
          <cell r="D96">
            <v>0</v>
          </cell>
          <cell r="E96">
            <v>389</v>
          </cell>
          <cell r="F96">
            <v>0</v>
          </cell>
          <cell r="G96">
            <v>0</v>
          </cell>
          <cell r="H96">
            <v>501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1237</v>
          </cell>
          <cell r="P96">
            <v>1237</v>
          </cell>
          <cell r="Q96">
            <v>0</v>
          </cell>
          <cell r="R96">
            <v>1237</v>
          </cell>
        </row>
        <row r="97">
          <cell r="A97" t="str">
            <v>Library &amp; Reference Books</v>
          </cell>
          <cell r="B97">
            <v>1610</v>
          </cell>
          <cell r="C97">
            <v>0</v>
          </cell>
          <cell r="D97">
            <v>0</v>
          </cell>
          <cell r="E97">
            <v>132</v>
          </cell>
          <cell r="F97">
            <v>312</v>
          </cell>
          <cell r="G97">
            <v>333</v>
          </cell>
          <cell r="H97">
            <v>715</v>
          </cell>
          <cell r="I97">
            <v>156.97499999999999</v>
          </cell>
          <cell r="J97">
            <v>156.97499999999999</v>
          </cell>
          <cell r="K97">
            <v>156.97499999999999</v>
          </cell>
          <cell r="L97">
            <v>156.97499999999999</v>
          </cell>
          <cell r="M97">
            <v>156.97499999999999</v>
          </cell>
          <cell r="N97">
            <v>3886.875</v>
          </cell>
          <cell r="P97">
            <v>3102</v>
          </cell>
          <cell r="Q97">
            <v>784.875</v>
          </cell>
          <cell r="R97">
            <v>3886.875</v>
          </cell>
        </row>
        <row r="98">
          <cell r="A98" t="str">
            <v>Other Publications</v>
          </cell>
          <cell r="B98">
            <v>0</v>
          </cell>
          <cell r="C98">
            <v>54</v>
          </cell>
          <cell r="D98">
            <v>2391</v>
          </cell>
          <cell r="E98">
            <v>1541</v>
          </cell>
          <cell r="F98">
            <v>0</v>
          </cell>
          <cell r="G98">
            <v>238</v>
          </cell>
          <cell r="H98">
            <v>0</v>
          </cell>
          <cell r="I98">
            <v>91</v>
          </cell>
          <cell r="J98">
            <v>91</v>
          </cell>
          <cell r="K98">
            <v>91</v>
          </cell>
          <cell r="L98">
            <v>91</v>
          </cell>
          <cell r="M98">
            <v>91</v>
          </cell>
          <cell r="N98">
            <v>4679</v>
          </cell>
          <cell r="P98">
            <v>4224</v>
          </cell>
          <cell r="Q98">
            <v>455</v>
          </cell>
          <cell r="R98">
            <v>4679</v>
          </cell>
        </row>
        <row r="99">
          <cell r="A99" t="str">
            <v>Instructional Supplies</v>
          </cell>
          <cell r="B99">
            <v>122</v>
          </cell>
          <cell r="C99">
            <v>2107</v>
          </cell>
          <cell r="D99">
            <v>1944</v>
          </cell>
          <cell r="E99">
            <v>3834</v>
          </cell>
          <cell r="F99">
            <v>2475</v>
          </cell>
          <cell r="G99">
            <v>2484</v>
          </cell>
          <cell r="H99">
            <v>2043</v>
          </cell>
          <cell r="I99">
            <v>350</v>
          </cell>
          <cell r="J99">
            <v>350</v>
          </cell>
          <cell r="K99">
            <v>350</v>
          </cell>
          <cell r="L99">
            <v>350</v>
          </cell>
          <cell r="M99">
            <v>350</v>
          </cell>
          <cell r="N99">
            <v>16759</v>
          </cell>
          <cell r="P99">
            <v>15009</v>
          </cell>
          <cell r="Q99">
            <v>1750</v>
          </cell>
          <cell r="R99">
            <v>16759</v>
          </cell>
        </row>
        <row r="100">
          <cell r="A100" t="str">
            <v>Sporting Goods</v>
          </cell>
          <cell r="B100">
            <v>0</v>
          </cell>
          <cell r="C100">
            <v>0</v>
          </cell>
          <cell r="D100">
            <v>758</v>
          </cell>
          <cell r="E100">
            <v>0</v>
          </cell>
          <cell r="F100">
            <v>1198</v>
          </cell>
          <cell r="G100">
            <v>203</v>
          </cell>
          <cell r="H100">
            <v>0</v>
          </cell>
          <cell r="I100">
            <v>72.8</v>
          </cell>
          <cell r="J100">
            <v>72.8</v>
          </cell>
          <cell r="K100">
            <v>72.8</v>
          </cell>
          <cell r="L100">
            <v>72.8</v>
          </cell>
          <cell r="M100">
            <v>72.8</v>
          </cell>
          <cell r="N100">
            <v>2523</v>
          </cell>
          <cell r="P100">
            <v>2159</v>
          </cell>
          <cell r="Q100">
            <v>364</v>
          </cell>
          <cell r="R100">
            <v>2523</v>
          </cell>
        </row>
        <row r="101">
          <cell r="B101">
            <v>1732</v>
          </cell>
          <cell r="C101">
            <v>2508</v>
          </cell>
          <cell r="D101">
            <v>5093</v>
          </cell>
          <cell r="E101">
            <v>5896</v>
          </cell>
          <cell r="F101">
            <v>3985</v>
          </cell>
          <cell r="G101">
            <v>3258</v>
          </cell>
          <cell r="H101">
            <v>3259</v>
          </cell>
          <cell r="I101">
            <v>670.77499999999998</v>
          </cell>
          <cell r="J101">
            <v>670.77499999999998</v>
          </cell>
          <cell r="K101">
            <v>670.77499999999998</v>
          </cell>
          <cell r="L101">
            <v>670.77499999999998</v>
          </cell>
          <cell r="M101">
            <v>670.77499999999998</v>
          </cell>
          <cell r="N101">
            <v>29084.875</v>
          </cell>
          <cell r="P101">
            <v>25731</v>
          </cell>
          <cell r="Q101">
            <v>3353.875</v>
          </cell>
          <cell r="R101">
            <v>29084.875</v>
          </cell>
        </row>
        <row r="103">
          <cell r="A103" t="str">
            <v>Other Operating Expenses</v>
          </cell>
        </row>
        <row r="104">
          <cell r="A104" t="str">
            <v>Telephone</v>
          </cell>
          <cell r="B104">
            <v>1200</v>
          </cell>
          <cell r="C104">
            <v>1255</v>
          </cell>
          <cell r="D104">
            <v>2791</v>
          </cell>
          <cell r="E104">
            <v>1381</v>
          </cell>
          <cell r="F104">
            <v>1200</v>
          </cell>
          <cell r="G104">
            <v>770</v>
          </cell>
          <cell r="H104">
            <v>2614</v>
          </cell>
          <cell r="I104">
            <v>950</v>
          </cell>
          <cell r="J104">
            <v>950</v>
          </cell>
          <cell r="K104">
            <v>950</v>
          </cell>
          <cell r="L104">
            <v>950</v>
          </cell>
          <cell r="M104">
            <v>950</v>
          </cell>
          <cell r="N104">
            <v>15961</v>
          </cell>
          <cell r="P104">
            <v>11211</v>
          </cell>
          <cell r="Q104">
            <v>4750</v>
          </cell>
          <cell r="R104">
            <v>15961</v>
          </cell>
        </row>
        <row r="105">
          <cell r="A105" t="str">
            <v>Postage</v>
          </cell>
          <cell r="B105">
            <v>242</v>
          </cell>
          <cell r="C105">
            <v>142</v>
          </cell>
          <cell r="D105">
            <v>815</v>
          </cell>
          <cell r="E105">
            <v>439</v>
          </cell>
          <cell r="F105">
            <v>15</v>
          </cell>
          <cell r="G105">
            <v>0</v>
          </cell>
          <cell r="H105">
            <v>0</v>
          </cell>
          <cell r="I105">
            <v>273</v>
          </cell>
          <cell r="J105">
            <v>273</v>
          </cell>
          <cell r="K105">
            <v>273</v>
          </cell>
          <cell r="L105">
            <v>273</v>
          </cell>
          <cell r="M105">
            <v>273</v>
          </cell>
          <cell r="N105">
            <v>3018</v>
          </cell>
          <cell r="P105">
            <v>1653</v>
          </cell>
          <cell r="Q105">
            <v>1365</v>
          </cell>
          <cell r="R105">
            <v>3018</v>
          </cell>
        </row>
        <row r="106">
          <cell r="A106" t="str">
            <v>Express Mail</v>
          </cell>
          <cell r="B106">
            <v>71</v>
          </cell>
          <cell r="C106">
            <v>0</v>
          </cell>
          <cell r="D106">
            <v>130</v>
          </cell>
          <cell r="E106">
            <v>6</v>
          </cell>
          <cell r="F106">
            <v>0</v>
          </cell>
          <cell r="G106">
            <v>0</v>
          </cell>
          <cell r="H106">
            <v>52</v>
          </cell>
          <cell r="I106">
            <v>163.80000000000001</v>
          </cell>
          <cell r="J106">
            <v>163.80000000000001</v>
          </cell>
          <cell r="K106">
            <v>163.80000000000001</v>
          </cell>
          <cell r="L106">
            <v>163.80000000000001</v>
          </cell>
          <cell r="M106">
            <v>163.80000000000001</v>
          </cell>
          <cell r="N106">
            <v>1078</v>
          </cell>
          <cell r="P106">
            <v>259</v>
          </cell>
          <cell r="Q106">
            <v>819</v>
          </cell>
          <cell r="R106">
            <v>1078</v>
          </cell>
        </row>
        <row r="107">
          <cell r="A107" t="str">
            <v>Electricity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A108" t="str">
            <v>Gas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Water &amp; Sewer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Waste Disposal</v>
          </cell>
          <cell r="B110">
            <v>0</v>
          </cell>
          <cell r="C110">
            <v>115</v>
          </cell>
          <cell r="D110">
            <v>292</v>
          </cell>
          <cell r="E110">
            <v>226</v>
          </cell>
          <cell r="F110">
            <v>232</v>
          </cell>
          <cell r="G110">
            <v>235</v>
          </cell>
          <cell r="H110">
            <v>496</v>
          </cell>
          <cell r="I110">
            <v>226</v>
          </cell>
          <cell r="J110">
            <v>226</v>
          </cell>
          <cell r="K110">
            <v>226</v>
          </cell>
          <cell r="L110">
            <v>226</v>
          </cell>
          <cell r="M110">
            <v>226</v>
          </cell>
          <cell r="N110">
            <v>2726</v>
          </cell>
          <cell r="P110">
            <v>1596</v>
          </cell>
          <cell r="Q110">
            <v>1130</v>
          </cell>
          <cell r="R110">
            <v>2726</v>
          </cell>
        </row>
        <row r="111">
          <cell r="A111" t="str">
            <v>Security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74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74</v>
          </cell>
          <cell r="P111">
            <v>74</v>
          </cell>
          <cell r="Q111">
            <v>0</v>
          </cell>
          <cell r="R111">
            <v>74</v>
          </cell>
        </row>
        <row r="112">
          <cell r="A112" t="str">
            <v>Uniform &amp; Laundry Expenses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 t="str">
            <v>Maintenance Supplies</v>
          </cell>
          <cell r="B113">
            <v>0</v>
          </cell>
          <cell r="C113">
            <v>276</v>
          </cell>
          <cell r="D113">
            <v>115</v>
          </cell>
          <cell r="E113">
            <v>684</v>
          </cell>
          <cell r="F113">
            <v>0</v>
          </cell>
          <cell r="G113">
            <v>1066</v>
          </cell>
          <cell r="H113">
            <v>750</v>
          </cell>
          <cell r="I113">
            <v>450</v>
          </cell>
          <cell r="J113">
            <v>450</v>
          </cell>
          <cell r="K113">
            <v>450</v>
          </cell>
          <cell r="L113">
            <v>450</v>
          </cell>
          <cell r="M113">
            <v>450</v>
          </cell>
          <cell r="N113">
            <v>5141</v>
          </cell>
          <cell r="P113">
            <v>2891</v>
          </cell>
          <cell r="Q113">
            <v>2250</v>
          </cell>
          <cell r="R113">
            <v>5141</v>
          </cell>
        </row>
        <row r="114">
          <cell r="A114" t="str">
            <v>Building Repairs &amp; Maintenance</v>
          </cell>
          <cell r="B114">
            <v>0</v>
          </cell>
          <cell r="C114">
            <v>276</v>
          </cell>
          <cell r="D114">
            <v>923</v>
          </cell>
          <cell r="E114">
            <v>1443</v>
          </cell>
          <cell r="F114">
            <v>905</v>
          </cell>
          <cell r="G114">
            <v>-5</v>
          </cell>
          <cell r="H114">
            <v>96</v>
          </cell>
          <cell r="I114">
            <v>391.38249999999999</v>
          </cell>
          <cell r="J114">
            <v>391.38249999999999</v>
          </cell>
          <cell r="K114">
            <v>391.38249999999999</v>
          </cell>
          <cell r="L114">
            <v>391.38249999999999</v>
          </cell>
          <cell r="M114">
            <v>391.38249999999999</v>
          </cell>
          <cell r="N114">
            <v>5594.9125000000004</v>
          </cell>
          <cell r="P114">
            <v>3638</v>
          </cell>
          <cell r="Q114">
            <v>1956.9124999999999</v>
          </cell>
          <cell r="R114">
            <v>5594.9125000000004</v>
          </cell>
        </row>
        <row r="115">
          <cell r="A115" t="str">
            <v>Equipment Repairs &amp; Maintenance</v>
          </cell>
          <cell r="B115">
            <v>0</v>
          </cell>
          <cell r="C115">
            <v>617</v>
          </cell>
          <cell r="D115">
            <v>1040</v>
          </cell>
          <cell r="E115">
            <v>50</v>
          </cell>
          <cell r="F115">
            <v>1854</v>
          </cell>
          <cell r="G115">
            <v>200</v>
          </cell>
          <cell r="H115">
            <v>174</v>
          </cell>
          <cell r="I115">
            <v>682.5</v>
          </cell>
          <cell r="J115">
            <v>682.5</v>
          </cell>
          <cell r="K115">
            <v>682.5</v>
          </cell>
          <cell r="L115">
            <v>682.5</v>
          </cell>
          <cell r="M115">
            <v>682.5</v>
          </cell>
          <cell r="N115">
            <v>7347.5</v>
          </cell>
          <cell r="P115">
            <v>3935</v>
          </cell>
          <cell r="Q115">
            <v>3412.5</v>
          </cell>
          <cell r="R115">
            <v>7347.5</v>
          </cell>
        </row>
        <row r="116">
          <cell r="A116" t="str">
            <v>Computer Repairs &amp; Maintenance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40</v>
          </cell>
          <cell r="G116">
            <v>0</v>
          </cell>
          <cell r="H116">
            <v>799</v>
          </cell>
          <cell r="I116">
            <v>227.5</v>
          </cell>
          <cell r="J116">
            <v>227.5</v>
          </cell>
          <cell r="K116">
            <v>227.5</v>
          </cell>
          <cell r="L116">
            <v>227.5</v>
          </cell>
          <cell r="M116">
            <v>227.5</v>
          </cell>
          <cell r="N116">
            <v>1976.5</v>
          </cell>
          <cell r="P116">
            <v>839</v>
          </cell>
          <cell r="Q116">
            <v>1137.5</v>
          </cell>
          <cell r="R116">
            <v>1976.5</v>
          </cell>
        </row>
        <row r="117">
          <cell r="A117" t="str">
            <v>Miscellaneous Expenses</v>
          </cell>
          <cell r="B117">
            <v>0</v>
          </cell>
          <cell r="C117">
            <v>2077</v>
          </cell>
          <cell r="D117">
            <v>1185</v>
          </cell>
          <cell r="E117">
            <v>-261</v>
          </cell>
          <cell r="F117">
            <v>1327</v>
          </cell>
          <cell r="G117">
            <v>499</v>
          </cell>
          <cell r="H117">
            <v>305</v>
          </cell>
          <cell r="I117">
            <v>182</v>
          </cell>
          <cell r="J117">
            <v>182</v>
          </cell>
          <cell r="K117">
            <v>182</v>
          </cell>
          <cell r="L117">
            <v>182</v>
          </cell>
          <cell r="M117">
            <v>182</v>
          </cell>
          <cell r="N117">
            <v>6042</v>
          </cell>
          <cell r="P117">
            <v>5132</v>
          </cell>
          <cell r="Q117">
            <v>910</v>
          </cell>
          <cell r="R117">
            <v>6042</v>
          </cell>
        </row>
        <row r="118">
          <cell r="B118">
            <v>1513</v>
          </cell>
          <cell r="C118">
            <v>4758</v>
          </cell>
          <cell r="D118">
            <v>7291</v>
          </cell>
          <cell r="E118">
            <v>3968</v>
          </cell>
          <cell r="F118">
            <v>5573</v>
          </cell>
          <cell r="G118">
            <v>2839</v>
          </cell>
          <cell r="H118">
            <v>5286</v>
          </cell>
          <cell r="I118">
            <v>3546.1825000000003</v>
          </cell>
          <cell r="J118">
            <v>3546.1825000000003</v>
          </cell>
          <cell r="K118">
            <v>3546.1825000000003</v>
          </cell>
          <cell r="L118">
            <v>3546.1825000000003</v>
          </cell>
          <cell r="M118">
            <v>3546.1825000000003</v>
          </cell>
          <cell r="N118">
            <v>48958.912500000006</v>
          </cell>
          <cell r="P118">
            <v>31228</v>
          </cell>
          <cell r="Q118">
            <v>17730.912499999999</v>
          </cell>
          <cell r="R118">
            <v>48958.912499999999</v>
          </cell>
        </row>
        <row r="120">
          <cell r="A120" t="str">
            <v>Profit After Operating Expenses</v>
          </cell>
          <cell r="B120">
            <v>165740</v>
          </cell>
          <cell r="C120">
            <v>83279</v>
          </cell>
          <cell r="D120">
            <v>-97319</v>
          </cell>
          <cell r="E120">
            <v>-25686</v>
          </cell>
          <cell r="F120">
            <v>-10355.340000000026</v>
          </cell>
          <cell r="G120">
            <v>-36558.840000000026</v>
          </cell>
          <cell r="H120">
            <v>-63085</v>
          </cell>
          <cell r="I120">
            <v>-3348.0476733332907</v>
          </cell>
          <cell r="J120">
            <v>-8324.5537533333118</v>
          </cell>
          <cell r="K120">
            <v>2908.4584066667303</v>
          </cell>
          <cell r="L120">
            <v>-18126.898633333272</v>
          </cell>
          <cell r="M120">
            <v>2190.7876866667357</v>
          </cell>
          <cell r="N120">
            <v>-8685.43396666646</v>
          </cell>
          <cell r="P120">
            <v>16014.819999999832</v>
          </cell>
          <cell r="Q120">
            <v>-24700.253966666547</v>
          </cell>
          <cell r="R120">
            <v>-8685.4339666668311</v>
          </cell>
        </row>
        <row r="122">
          <cell r="A122" t="str">
            <v>Fixed Expense</v>
          </cell>
        </row>
        <row r="123">
          <cell r="A123" t="str">
            <v>Rent Expense</v>
          </cell>
          <cell r="B123">
            <v>39367.777777777781</v>
          </cell>
          <cell r="C123">
            <v>39367.777777777781</v>
          </cell>
          <cell r="D123">
            <v>39367.777777777781</v>
          </cell>
          <cell r="E123">
            <v>44063</v>
          </cell>
          <cell r="F123">
            <v>39367.777777777781</v>
          </cell>
          <cell r="G123">
            <v>34673</v>
          </cell>
          <cell r="H123">
            <v>39368</v>
          </cell>
          <cell r="I123">
            <v>39367.777777777781</v>
          </cell>
          <cell r="J123">
            <v>39367.777777777781</v>
          </cell>
          <cell r="K123">
            <v>39367.777777777781</v>
          </cell>
          <cell r="L123">
            <v>39367.777777777781</v>
          </cell>
          <cell r="M123">
            <v>39367.777777777781</v>
          </cell>
          <cell r="N123">
            <v>472413.99999999988</v>
          </cell>
          <cell r="P123">
            <v>275575.11111111112</v>
          </cell>
          <cell r="Q123">
            <v>196838.88888888891</v>
          </cell>
          <cell r="R123">
            <v>472414</v>
          </cell>
        </row>
        <row r="124">
          <cell r="A124" t="str">
            <v>CAM, TMI &amp; Merchant Assoc. Dues</v>
          </cell>
          <cell r="B124">
            <v>17499.937499999996</v>
          </cell>
          <cell r="C124">
            <v>17499.937499999996</v>
          </cell>
          <cell r="D124">
            <v>34065</v>
          </cell>
          <cell r="E124">
            <v>26217</v>
          </cell>
          <cell r="F124">
            <v>26217</v>
          </cell>
          <cell r="G124">
            <v>9587</v>
          </cell>
          <cell r="H124">
            <v>0</v>
          </cell>
          <cell r="I124">
            <v>26218</v>
          </cell>
          <cell r="J124">
            <v>26218</v>
          </cell>
          <cell r="K124">
            <v>26218</v>
          </cell>
          <cell r="L124">
            <v>26218</v>
          </cell>
          <cell r="M124">
            <v>26218</v>
          </cell>
          <cell r="N124">
            <v>262175.875</v>
          </cell>
          <cell r="P124">
            <v>131085.875</v>
          </cell>
          <cell r="Q124">
            <v>131090</v>
          </cell>
          <cell r="R124">
            <v>262175.875</v>
          </cell>
        </row>
        <row r="125">
          <cell r="A125" t="str">
            <v>Property &amp; Rent Taxes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Leasing Expense</v>
          </cell>
          <cell r="B126">
            <v>10085</v>
          </cell>
          <cell r="C126">
            <v>10085</v>
          </cell>
          <cell r="D126">
            <v>11446</v>
          </cell>
          <cell r="E126">
            <v>10685</v>
          </cell>
          <cell r="F126">
            <v>10385</v>
          </cell>
          <cell r="G126">
            <v>13409</v>
          </cell>
          <cell r="H126">
            <v>6643</v>
          </cell>
          <cell r="I126">
            <v>10777.64</v>
          </cell>
          <cell r="J126">
            <v>10777.64</v>
          </cell>
          <cell r="K126">
            <v>10777.64</v>
          </cell>
          <cell r="L126">
            <v>10777.64</v>
          </cell>
          <cell r="M126">
            <v>10777.64</v>
          </cell>
          <cell r="N126">
            <v>126626.2</v>
          </cell>
          <cell r="P126">
            <v>72738</v>
          </cell>
          <cell r="Q126">
            <v>53888.2</v>
          </cell>
          <cell r="R126">
            <v>126626.2</v>
          </cell>
        </row>
        <row r="127">
          <cell r="A127" t="str">
            <v>Property &amp; Prof. Liab Insurance</v>
          </cell>
          <cell r="B127">
            <v>1333</v>
          </cell>
          <cell r="C127">
            <v>1333</v>
          </cell>
          <cell r="D127">
            <v>1333</v>
          </cell>
          <cell r="E127">
            <v>-1903</v>
          </cell>
          <cell r="F127">
            <v>524</v>
          </cell>
          <cell r="G127">
            <v>522</v>
          </cell>
          <cell r="H127">
            <v>524</v>
          </cell>
          <cell r="I127">
            <v>1400</v>
          </cell>
          <cell r="J127">
            <v>1400</v>
          </cell>
          <cell r="K127">
            <v>1400</v>
          </cell>
          <cell r="L127">
            <v>1400</v>
          </cell>
          <cell r="M127">
            <v>1400</v>
          </cell>
          <cell r="N127">
            <v>10666</v>
          </cell>
          <cell r="P127">
            <v>3666</v>
          </cell>
          <cell r="Q127">
            <v>7000</v>
          </cell>
          <cell r="R127">
            <v>10666</v>
          </cell>
        </row>
        <row r="128">
          <cell r="A128" t="str">
            <v>Interest Expense / (Income)</v>
          </cell>
          <cell r="B128">
            <v>476.12097754913333</v>
          </cell>
          <cell r="C128">
            <v>476</v>
          </cell>
          <cell r="D128">
            <v>1652</v>
          </cell>
          <cell r="E128">
            <v>476</v>
          </cell>
          <cell r="F128">
            <v>623</v>
          </cell>
          <cell r="G128">
            <v>471</v>
          </cell>
          <cell r="H128">
            <v>470</v>
          </cell>
          <cell r="I128">
            <v>469</v>
          </cell>
          <cell r="J128">
            <v>468</v>
          </cell>
          <cell r="K128">
            <v>466</v>
          </cell>
          <cell r="L128">
            <v>465</v>
          </cell>
          <cell r="M128">
            <v>464</v>
          </cell>
          <cell r="N128">
            <v>6976.1209775491334</v>
          </cell>
          <cell r="P128">
            <v>4644.1209775491334</v>
          </cell>
          <cell r="Q128">
            <v>2332</v>
          </cell>
          <cell r="R128">
            <v>6976.1209775491334</v>
          </cell>
        </row>
        <row r="129">
          <cell r="A129" t="str">
            <v>Depreciation</v>
          </cell>
          <cell r="B129">
            <v>362</v>
          </cell>
          <cell r="C129">
            <v>362</v>
          </cell>
          <cell r="D129">
            <v>2309</v>
          </cell>
          <cell r="E129">
            <v>362</v>
          </cell>
          <cell r="F129">
            <v>4063</v>
          </cell>
          <cell r="G129">
            <v>4702</v>
          </cell>
          <cell r="H129">
            <v>3924</v>
          </cell>
          <cell r="I129">
            <v>8000</v>
          </cell>
          <cell r="J129">
            <v>8000</v>
          </cell>
          <cell r="K129">
            <v>8000</v>
          </cell>
          <cell r="L129">
            <v>8000</v>
          </cell>
          <cell r="M129">
            <v>8000</v>
          </cell>
          <cell r="N129">
            <v>56084</v>
          </cell>
          <cell r="P129">
            <v>16084</v>
          </cell>
          <cell r="Q129">
            <v>40000</v>
          </cell>
          <cell r="R129">
            <v>56084</v>
          </cell>
        </row>
        <row r="130">
          <cell r="A130" t="str">
            <v>Amortization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B131">
            <v>69123.836255326911</v>
          </cell>
          <cell r="C131">
            <v>69123.715277777781</v>
          </cell>
          <cell r="D131">
            <v>90172.777777777781</v>
          </cell>
          <cell r="E131">
            <v>79900</v>
          </cell>
          <cell r="F131">
            <v>81179.777777777781</v>
          </cell>
          <cell r="G131">
            <v>63364</v>
          </cell>
          <cell r="H131">
            <v>50929</v>
          </cell>
          <cell r="I131">
            <v>86232.41777777778</v>
          </cell>
          <cell r="J131">
            <v>86231.41777777778</v>
          </cell>
          <cell r="K131">
            <v>86229.41777777778</v>
          </cell>
          <cell r="L131">
            <v>86228.41777777778</v>
          </cell>
          <cell r="M131">
            <v>86227.41777777778</v>
          </cell>
          <cell r="N131">
            <v>934942.19597754907</v>
          </cell>
          <cell r="P131">
            <v>503793.10708866024</v>
          </cell>
          <cell r="Q131">
            <v>431149.08888888889</v>
          </cell>
          <cell r="R131">
            <v>934942.19597754907</v>
          </cell>
        </row>
        <row r="133">
          <cell r="A133" t="str">
            <v>Profit before Taxes</v>
          </cell>
          <cell r="B133">
            <v>96616.163744673089</v>
          </cell>
          <cell r="C133">
            <v>14155.284722222219</v>
          </cell>
          <cell r="D133">
            <v>-187491.77777777778</v>
          </cell>
          <cell r="E133">
            <v>-105586</v>
          </cell>
          <cell r="F133">
            <v>-91535.117777777807</v>
          </cell>
          <cell r="G133">
            <v>-99922.840000000026</v>
          </cell>
          <cell r="H133">
            <v>-114014</v>
          </cell>
          <cell r="I133">
            <v>-89580.465451111071</v>
          </cell>
          <cell r="J133">
            <v>-94555.971531111092</v>
          </cell>
          <cell r="K133">
            <v>-83320.95937111105</v>
          </cell>
          <cell r="L133">
            <v>-104355.31641111105</v>
          </cell>
          <cell r="M133">
            <v>-84036.630091111045</v>
          </cell>
          <cell r="N133">
            <v>-943627.62994421553</v>
          </cell>
          <cell r="P133">
            <v>-487778.28708866041</v>
          </cell>
          <cell r="Q133">
            <v>-455849.34285555541</v>
          </cell>
          <cell r="R133">
            <v>-943627.62994421588</v>
          </cell>
        </row>
        <row r="135">
          <cell r="A135" t="str">
            <v>Other Income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-97</v>
          </cell>
          <cell r="H135">
            <v>-811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-908</v>
          </cell>
          <cell r="P135">
            <v>-908</v>
          </cell>
          <cell r="Q135">
            <v>0</v>
          </cell>
          <cell r="R135">
            <v>-908</v>
          </cell>
        </row>
        <row r="137">
          <cell r="A137" t="str">
            <v>Net Income/(Loss)</v>
          </cell>
          <cell r="B137">
            <v>96616.163744673089</v>
          </cell>
          <cell r="C137">
            <v>14155.284722222219</v>
          </cell>
          <cell r="D137">
            <v>-187491.77777777778</v>
          </cell>
          <cell r="E137">
            <v>-105586</v>
          </cell>
          <cell r="F137">
            <v>-91535.117777777807</v>
          </cell>
          <cell r="G137">
            <v>-99825.840000000026</v>
          </cell>
          <cell r="H137">
            <v>-113203</v>
          </cell>
          <cell r="I137">
            <v>-89580.465451111071</v>
          </cell>
          <cell r="J137">
            <v>-94555.971531111092</v>
          </cell>
          <cell r="K137">
            <v>-83320.95937111105</v>
          </cell>
          <cell r="L137">
            <v>-104355.31641111105</v>
          </cell>
          <cell r="M137">
            <v>-84036.630091111045</v>
          </cell>
          <cell r="N137">
            <v>-942719.62994421553</v>
          </cell>
          <cell r="P137">
            <v>-486870.28708866041</v>
          </cell>
          <cell r="Q137">
            <v>-455849.34285555541</v>
          </cell>
          <cell r="R137">
            <v>-942719.62994421588</v>
          </cell>
        </row>
        <row r="139">
          <cell r="A139" t="str">
            <v>Add back ASI Management Fee</v>
          </cell>
          <cell r="B139">
            <v>58283</v>
          </cell>
          <cell r="C139">
            <v>63568</v>
          </cell>
          <cell r="D139">
            <v>83551</v>
          </cell>
          <cell r="E139">
            <v>73313</v>
          </cell>
          <cell r="F139">
            <v>71865</v>
          </cell>
          <cell r="G139">
            <v>74859</v>
          </cell>
          <cell r="H139">
            <v>73875</v>
          </cell>
          <cell r="I139">
            <v>74690.07084</v>
          </cell>
          <cell r="J139">
            <v>75339.799920000005</v>
          </cell>
          <cell r="K139">
            <v>75140.34176000001</v>
          </cell>
          <cell r="L139">
            <v>74906.642800000001</v>
          </cell>
          <cell r="M139">
            <v>79973.494480000008</v>
          </cell>
          <cell r="N139">
            <v>879364.34979999997</v>
          </cell>
          <cell r="P139">
            <v>499314</v>
          </cell>
          <cell r="Q139">
            <v>380050.34980000003</v>
          </cell>
          <cell r="R139">
            <v>879364.34979999997</v>
          </cell>
        </row>
        <row r="141">
          <cell r="A141" t="str">
            <v>Net Income Before ASI Fee</v>
          </cell>
          <cell r="B141">
            <v>154899.16374467307</v>
          </cell>
          <cell r="C141">
            <v>77723.284722222219</v>
          </cell>
          <cell r="D141">
            <v>-103940.77777777778</v>
          </cell>
          <cell r="E141">
            <v>-32273</v>
          </cell>
          <cell r="F141">
            <v>-19670.117777777807</v>
          </cell>
          <cell r="G141">
            <v>-24966.840000000026</v>
          </cell>
          <cell r="H141">
            <v>-39328</v>
          </cell>
          <cell r="I141">
            <v>-14890.394611111071</v>
          </cell>
          <cell r="J141">
            <v>-19216.171611111087</v>
          </cell>
          <cell r="K141">
            <v>-8180.6176111110399</v>
          </cell>
          <cell r="L141">
            <v>-29448.673611111051</v>
          </cell>
          <cell r="M141">
            <v>-4063.1356111110363</v>
          </cell>
          <cell r="N141">
            <v>-63355.280144215591</v>
          </cell>
          <cell r="P141">
            <v>12443.712911339593</v>
          </cell>
          <cell r="Q141">
            <v>-75798.993055555387</v>
          </cell>
          <cell r="R141">
            <v>-63355.280144215911</v>
          </cell>
        </row>
      </sheetData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794C3-95D5-41FB-8D23-73E9B9A4D900}">
  <sheetPr codeName="Sheet9">
    <pageSetUpPr fitToPage="1"/>
  </sheetPr>
  <dimension ref="A1:N46"/>
  <sheetViews>
    <sheetView tabSelected="1" zoomScale="85" zoomScaleNormal="85" workbookViewId="0">
      <selection activeCell="O22" sqref="O22"/>
    </sheetView>
  </sheetViews>
  <sheetFormatPr defaultColWidth="9.28515625" defaultRowHeight="15" x14ac:dyDescent="0.2"/>
  <cols>
    <col min="1" max="1" width="2.42578125" style="2" customWidth="1"/>
    <col min="2" max="2" width="47.42578125" style="2" customWidth="1"/>
    <col min="3" max="3" width="25.7109375" style="2" bestFit="1" customWidth="1"/>
    <col min="4" max="4" width="2.28515625" style="2" customWidth="1"/>
    <col min="5" max="5" width="17.5703125" style="2" bestFit="1" customWidth="1"/>
    <col min="6" max="6" width="2.28515625" style="2" customWidth="1"/>
    <col min="7" max="7" width="17.42578125" style="2" bestFit="1" customWidth="1"/>
    <col min="8" max="8" width="1.7109375" style="2" customWidth="1"/>
    <col min="9" max="9" width="16.42578125" style="2" hidden="1" customWidth="1"/>
    <col min="10" max="10" width="1.5703125" style="2" customWidth="1"/>
    <col min="11" max="11" width="16.42578125" style="2" customWidth="1"/>
    <col min="12" max="12" width="2.28515625" style="2" customWidth="1"/>
    <col min="13" max="13" width="17.5703125" style="2" bestFit="1" customWidth="1"/>
    <col min="14" max="14" width="15.5703125" style="2" bestFit="1" customWidth="1"/>
    <col min="15" max="16384" width="9.28515625" style="2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5.75" x14ac:dyDescent="0.25">
      <c r="A4" s="3">
        <v>45260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7" spans="1:14" ht="47.25" x14ac:dyDescent="0.25">
      <c r="C7" s="4" t="s">
        <v>3</v>
      </c>
      <c r="E7" s="5" t="s">
        <v>4</v>
      </c>
      <c r="F7" s="6"/>
      <c r="G7" s="5" t="s">
        <v>5</v>
      </c>
      <c r="H7" s="6"/>
      <c r="I7" s="5" t="s">
        <v>6</v>
      </c>
      <c r="J7" s="6"/>
      <c r="K7" s="5" t="s">
        <v>7</v>
      </c>
      <c r="L7" s="6"/>
      <c r="M7" s="5" t="s">
        <v>8</v>
      </c>
    </row>
    <row r="8" spans="1:14" ht="15.75" x14ac:dyDescent="0.25">
      <c r="A8" s="7" t="s">
        <v>9</v>
      </c>
      <c r="B8" s="8"/>
      <c r="C8" s="8"/>
      <c r="D8" s="8"/>
      <c r="G8" s="7"/>
      <c r="H8" s="7"/>
      <c r="I8" s="7"/>
      <c r="J8" s="7"/>
      <c r="K8" s="7"/>
      <c r="L8" s="7"/>
      <c r="M8" s="7"/>
      <c r="N8" s="7"/>
    </row>
    <row r="9" spans="1:14" ht="15.75" x14ac:dyDescent="0.25">
      <c r="A9" s="9"/>
      <c r="B9" s="8"/>
      <c r="C9" s="8"/>
      <c r="D9" s="8"/>
      <c r="G9" s="7"/>
      <c r="H9" s="7"/>
      <c r="I9" s="7"/>
      <c r="J9" s="7"/>
      <c r="K9" s="7"/>
      <c r="L9" s="7"/>
      <c r="M9" s="7"/>
      <c r="N9" s="7"/>
    </row>
    <row r="10" spans="1:14" x14ac:dyDescent="0.2">
      <c r="B10" s="2" t="s">
        <v>10</v>
      </c>
      <c r="C10" s="10">
        <v>1110</v>
      </c>
      <c r="E10" s="11">
        <v>669622.23</v>
      </c>
      <c r="F10" s="11"/>
      <c r="G10" s="11">
        <v>0</v>
      </c>
      <c r="H10" s="11"/>
      <c r="I10" s="11">
        <v>0</v>
      </c>
      <c r="J10" s="11"/>
      <c r="K10" s="11">
        <v>0</v>
      </c>
      <c r="L10" s="12"/>
      <c r="M10" s="11">
        <v>669622.23</v>
      </c>
    </row>
    <row r="11" spans="1:14" x14ac:dyDescent="0.2">
      <c r="B11" s="2" t="s">
        <v>11</v>
      </c>
      <c r="C11" s="10">
        <v>1160</v>
      </c>
      <c r="E11" s="11">
        <v>0</v>
      </c>
      <c r="F11" s="11"/>
      <c r="G11" s="11">
        <v>0</v>
      </c>
      <c r="H11" s="11"/>
      <c r="I11" s="11">
        <v>0</v>
      </c>
      <c r="J11" s="11"/>
      <c r="K11" s="11">
        <v>0</v>
      </c>
      <c r="L11" s="11"/>
      <c r="M11" s="11">
        <v>0</v>
      </c>
    </row>
    <row r="12" spans="1:14" x14ac:dyDescent="0.2">
      <c r="B12" s="2" t="s">
        <v>12</v>
      </c>
      <c r="C12" s="10">
        <v>1130</v>
      </c>
      <c r="E12" s="11">
        <v>2070.42</v>
      </c>
      <c r="F12" s="11"/>
      <c r="G12" s="11">
        <v>0</v>
      </c>
      <c r="H12" s="11"/>
      <c r="I12" s="11">
        <v>0</v>
      </c>
      <c r="J12" s="11"/>
      <c r="K12" s="11">
        <v>2248</v>
      </c>
      <c r="L12" s="11"/>
      <c r="M12" s="11">
        <v>4318.42</v>
      </c>
    </row>
    <row r="13" spans="1:14" x14ac:dyDescent="0.2">
      <c r="B13" s="2" t="s">
        <v>13</v>
      </c>
      <c r="C13" s="10" t="s">
        <v>14</v>
      </c>
      <c r="E13" s="11">
        <v>0</v>
      </c>
      <c r="F13" s="11"/>
      <c r="G13" s="11">
        <v>0</v>
      </c>
      <c r="H13" s="11"/>
      <c r="I13" s="11">
        <v>0</v>
      </c>
      <c r="J13" s="11"/>
      <c r="K13" s="11">
        <v>0</v>
      </c>
      <c r="L13" s="11"/>
      <c r="M13" s="11">
        <v>0</v>
      </c>
    </row>
    <row r="14" spans="1:14" x14ac:dyDescent="0.2">
      <c r="B14" s="2" t="s">
        <v>15</v>
      </c>
      <c r="C14" s="10">
        <v>1210</v>
      </c>
      <c r="E14" s="11">
        <v>0</v>
      </c>
      <c r="F14" s="11"/>
      <c r="G14" s="11">
        <v>0</v>
      </c>
      <c r="H14" s="11"/>
      <c r="I14" s="11">
        <v>0</v>
      </c>
      <c r="J14" s="11"/>
      <c r="K14" s="11">
        <v>0</v>
      </c>
      <c r="L14" s="11"/>
      <c r="M14" s="11">
        <v>0</v>
      </c>
    </row>
    <row r="15" spans="1:14" x14ac:dyDescent="0.2">
      <c r="B15" s="2" t="s">
        <v>16</v>
      </c>
      <c r="C15" s="10">
        <v>1140</v>
      </c>
      <c r="E15" s="13">
        <v>0</v>
      </c>
      <c r="F15" s="11"/>
      <c r="G15" s="13">
        <v>0</v>
      </c>
      <c r="H15" s="11"/>
      <c r="I15" s="13">
        <v>0</v>
      </c>
      <c r="J15" s="11"/>
      <c r="K15" s="13">
        <v>3842.8</v>
      </c>
      <c r="L15" s="11">
        <v>68742</v>
      </c>
      <c r="M15" s="11">
        <v>3842.8</v>
      </c>
    </row>
    <row r="16" spans="1:14" x14ac:dyDescent="0.2">
      <c r="B16" s="2" t="s">
        <v>17</v>
      </c>
      <c r="C16" s="10">
        <v>1400</v>
      </c>
      <c r="E16" s="11">
        <v>0</v>
      </c>
      <c r="F16" s="11"/>
      <c r="G16" s="11">
        <v>0</v>
      </c>
      <c r="H16" s="11"/>
      <c r="I16" s="11">
        <v>0</v>
      </c>
      <c r="J16" s="11"/>
      <c r="K16" s="11">
        <v>0</v>
      </c>
      <c r="L16" s="11"/>
      <c r="M16" s="11">
        <v>0</v>
      </c>
    </row>
    <row r="17" spans="1:14" x14ac:dyDescent="0.2">
      <c r="C17" s="10"/>
      <c r="E17" s="11"/>
      <c r="F17" s="11"/>
      <c r="G17" s="11">
        <v>0</v>
      </c>
      <c r="H17" s="11"/>
      <c r="I17" s="11"/>
      <c r="J17" s="11"/>
      <c r="K17" s="11"/>
      <c r="L17" s="11"/>
      <c r="M17" s="11"/>
    </row>
    <row r="18" spans="1:14" ht="25.5" customHeight="1" thickBot="1" x14ac:dyDescent="0.3">
      <c r="A18" s="2" t="s">
        <v>18</v>
      </c>
      <c r="B18" s="7"/>
      <c r="C18" s="8"/>
      <c r="D18" s="7"/>
      <c r="E18" s="14">
        <v>671692.65</v>
      </c>
      <c r="F18" s="12"/>
      <c r="G18" s="14">
        <v>0</v>
      </c>
      <c r="H18" s="12"/>
      <c r="I18" s="14">
        <v>0</v>
      </c>
      <c r="J18" s="12"/>
      <c r="K18" s="14">
        <v>6090.8</v>
      </c>
      <c r="L18" s="12"/>
      <c r="M18" s="14">
        <v>677783.45000000007</v>
      </c>
      <c r="N18" s="15"/>
    </row>
    <row r="19" spans="1:14" ht="16.5" thickTop="1" x14ac:dyDescent="0.25">
      <c r="A19" s="7"/>
      <c r="B19" s="7"/>
      <c r="C19" s="8"/>
      <c r="D19" s="7"/>
      <c r="E19" s="12"/>
      <c r="F19" s="12"/>
      <c r="G19" s="12"/>
      <c r="H19" s="12"/>
      <c r="I19" s="12"/>
      <c r="J19" s="12"/>
      <c r="K19" s="12"/>
      <c r="L19" s="12"/>
      <c r="M19" s="12"/>
      <c r="N19" s="15"/>
    </row>
    <row r="20" spans="1:14" ht="15.75" x14ac:dyDescent="0.25">
      <c r="A20" s="7" t="s">
        <v>19</v>
      </c>
      <c r="B20" s="8"/>
      <c r="C20" s="8"/>
      <c r="D20" s="8"/>
      <c r="E20" s="12"/>
      <c r="F20" s="12"/>
      <c r="G20" s="12"/>
      <c r="H20" s="12"/>
      <c r="I20" s="12"/>
      <c r="J20" s="12"/>
      <c r="K20" s="12"/>
      <c r="L20" s="12"/>
      <c r="M20" s="12"/>
    </row>
    <row r="21" spans="1:14" ht="15.75" x14ac:dyDescent="0.25">
      <c r="A21" s="9"/>
      <c r="B21" s="8"/>
      <c r="C21" s="8"/>
      <c r="D21" s="8"/>
      <c r="E21" s="12"/>
      <c r="F21" s="12"/>
      <c r="G21" s="12"/>
      <c r="H21" s="12"/>
      <c r="I21" s="12"/>
      <c r="J21" s="12"/>
      <c r="K21" s="12"/>
      <c r="L21" s="12"/>
      <c r="M21" s="12"/>
    </row>
    <row r="22" spans="1:14" ht="15.75" x14ac:dyDescent="0.25">
      <c r="A22" s="2" t="s">
        <v>20</v>
      </c>
      <c r="B22" s="8"/>
      <c r="C22" s="8"/>
      <c r="D22" s="8"/>
      <c r="E22" s="12"/>
      <c r="F22" s="12"/>
      <c r="G22" s="12"/>
      <c r="H22" s="12"/>
      <c r="I22" s="12"/>
      <c r="J22" s="12"/>
      <c r="K22" s="12"/>
      <c r="L22" s="12"/>
      <c r="M22" s="12"/>
    </row>
    <row r="23" spans="1:14" x14ac:dyDescent="0.2">
      <c r="B23" s="2" t="s">
        <v>21</v>
      </c>
      <c r="C23" s="10">
        <v>2120</v>
      </c>
      <c r="E23" s="11">
        <v>6253.36</v>
      </c>
      <c r="F23" s="11"/>
      <c r="G23" s="11">
        <v>0</v>
      </c>
      <c r="H23" s="11"/>
      <c r="I23" s="11">
        <v>0</v>
      </c>
      <c r="J23" s="11"/>
      <c r="K23" s="11">
        <v>0</v>
      </c>
      <c r="L23" s="12"/>
      <c r="M23" s="11">
        <v>6253.36</v>
      </c>
    </row>
    <row r="24" spans="1:14" x14ac:dyDescent="0.2">
      <c r="B24" s="2" t="s">
        <v>22</v>
      </c>
      <c r="C24" s="10" t="s">
        <v>23</v>
      </c>
      <c r="E24" s="13">
        <v>-224.71</v>
      </c>
      <c r="F24" s="13"/>
      <c r="G24" s="13">
        <v>0</v>
      </c>
      <c r="H24" s="13"/>
      <c r="I24" s="13">
        <v>0</v>
      </c>
      <c r="J24" s="13"/>
      <c r="K24" s="13">
        <v>0</v>
      </c>
      <c r="L24" s="13"/>
      <c r="M24" s="13">
        <v>-224.71</v>
      </c>
    </row>
    <row r="25" spans="1:14" x14ac:dyDescent="0.2">
      <c r="B25" s="2" t="s">
        <v>24</v>
      </c>
      <c r="C25" s="10">
        <v>2410</v>
      </c>
      <c r="E25" s="11">
        <v>0</v>
      </c>
      <c r="F25" s="11"/>
      <c r="G25" s="11">
        <v>0</v>
      </c>
      <c r="H25" s="11"/>
      <c r="I25" s="11">
        <v>0</v>
      </c>
      <c r="J25" s="11"/>
      <c r="K25" s="11">
        <v>0</v>
      </c>
      <c r="L25" s="11"/>
      <c r="M25" s="11">
        <v>0</v>
      </c>
    </row>
    <row r="26" spans="1:14" x14ac:dyDescent="0.2">
      <c r="B26" s="2" t="s">
        <v>25</v>
      </c>
      <c r="C26" s="10" t="s">
        <v>26</v>
      </c>
      <c r="E26" s="11">
        <v>0</v>
      </c>
      <c r="F26" s="11"/>
      <c r="G26" s="11">
        <v>0</v>
      </c>
      <c r="H26" s="11"/>
      <c r="I26" s="11">
        <v>0</v>
      </c>
      <c r="J26" s="11"/>
      <c r="K26" s="11">
        <v>0</v>
      </c>
      <c r="L26" s="11"/>
      <c r="M26" s="11">
        <v>0</v>
      </c>
    </row>
    <row r="27" spans="1:14" x14ac:dyDescent="0.2">
      <c r="B27" s="2" t="s">
        <v>27</v>
      </c>
      <c r="C27" s="10">
        <v>2315</v>
      </c>
      <c r="E27" s="11">
        <v>0</v>
      </c>
      <c r="F27" s="11"/>
      <c r="G27" s="11">
        <v>0</v>
      </c>
      <c r="H27" s="11"/>
      <c r="I27" s="11">
        <v>0</v>
      </c>
      <c r="J27" s="11"/>
      <c r="K27" s="11">
        <v>0</v>
      </c>
      <c r="L27" s="11"/>
      <c r="M27" s="11">
        <v>0</v>
      </c>
    </row>
    <row r="28" spans="1:14" x14ac:dyDescent="0.2">
      <c r="B28" s="2" t="s">
        <v>28</v>
      </c>
      <c r="C28" s="10" t="s">
        <v>29</v>
      </c>
      <c r="E28" s="11">
        <v>0</v>
      </c>
      <c r="F28" s="11"/>
      <c r="G28" s="11">
        <v>0</v>
      </c>
      <c r="H28" s="11"/>
      <c r="I28" s="11">
        <v>0</v>
      </c>
      <c r="J28" s="11"/>
      <c r="K28" s="11">
        <v>0</v>
      </c>
      <c r="L28" s="11"/>
      <c r="M28" s="11">
        <v>0</v>
      </c>
    </row>
    <row r="29" spans="1:14" x14ac:dyDescent="0.2">
      <c r="B29" s="2" t="s">
        <v>30</v>
      </c>
      <c r="C29" s="10">
        <v>2210</v>
      </c>
      <c r="E29" s="11">
        <v>3842.8</v>
      </c>
      <c r="F29" s="11"/>
      <c r="G29" s="11">
        <v>0</v>
      </c>
      <c r="H29" s="11"/>
      <c r="I29" s="11">
        <v>0</v>
      </c>
      <c r="J29" s="11"/>
      <c r="K29" s="11">
        <v>0</v>
      </c>
      <c r="L29" s="11"/>
      <c r="M29" s="11">
        <v>3842.8</v>
      </c>
    </row>
    <row r="30" spans="1:14" x14ac:dyDescent="0.2">
      <c r="C30" s="10"/>
      <c r="E30" s="11"/>
      <c r="F30" s="11"/>
      <c r="G30" s="11"/>
      <c r="H30" s="11"/>
      <c r="I30" s="11"/>
      <c r="J30" s="11"/>
      <c r="K30" s="11"/>
      <c r="L30" s="11">
        <v>53742</v>
      </c>
      <c r="M30" s="11"/>
    </row>
    <row r="31" spans="1:14" ht="27" customHeight="1" x14ac:dyDescent="0.2">
      <c r="B31" s="2" t="s">
        <v>31</v>
      </c>
      <c r="C31" s="10"/>
      <c r="E31" s="16">
        <v>9871.4500000000007</v>
      </c>
      <c r="F31" s="11"/>
      <c r="G31" s="16">
        <v>0</v>
      </c>
      <c r="H31" s="11"/>
      <c r="I31" s="16">
        <v>0</v>
      </c>
      <c r="J31" s="11"/>
      <c r="K31" s="16">
        <v>0</v>
      </c>
      <c r="L31" s="11"/>
      <c r="M31" s="16">
        <v>9871.4500000000007</v>
      </c>
      <c r="N31" s="17"/>
    </row>
    <row r="32" spans="1:14" x14ac:dyDescent="0.2">
      <c r="C32" s="10"/>
      <c r="E32" s="12"/>
      <c r="F32" s="12"/>
      <c r="G32" s="12"/>
      <c r="H32" s="12"/>
      <c r="I32" s="12"/>
      <c r="J32" s="12"/>
      <c r="K32" s="12"/>
      <c r="L32" s="12"/>
      <c r="M32" s="12"/>
      <c r="N32" s="17"/>
    </row>
    <row r="33" spans="1:14" ht="15.75" x14ac:dyDescent="0.25">
      <c r="A33" s="2" t="s">
        <v>32</v>
      </c>
      <c r="B33" s="8"/>
      <c r="C33" s="8"/>
      <c r="D33" s="8"/>
      <c r="E33" s="11"/>
      <c r="F33" s="11"/>
      <c r="G33" s="11"/>
      <c r="H33" s="11"/>
      <c r="I33" s="11"/>
      <c r="J33" s="11"/>
      <c r="K33" s="11"/>
      <c r="L33" s="11"/>
      <c r="M33" s="11"/>
    </row>
    <row r="34" spans="1:14" x14ac:dyDescent="0.2">
      <c r="B34" s="2" t="s">
        <v>33</v>
      </c>
      <c r="C34" s="10">
        <v>2710</v>
      </c>
      <c r="E34" s="11">
        <v>0</v>
      </c>
      <c r="F34" s="11"/>
      <c r="G34" s="11">
        <v>0</v>
      </c>
      <c r="H34" s="11"/>
      <c r="I34" s="11">
        <v>0</v>
      </c>
      <c r="J34" s="11"/>
      <c r="K34" s="11">
        <v>0</v>
      </c>
      <c r="L34" s="11"/>
      <c r="M34" s="11">
        <v>0</v>
      </c>
    </row>
    <row r="35" spans="1:14" x14ac:dyDescent="0.2">
      <c r="B35" s="2" t="s">
        <v>34</v>
      </c>
      <c r="C35" s="10">
        <v>2720</v>
      </c>
      <c r="E35" s="11">
        <v>0</v>
      </c>
      <c r="F35" s="11"/>
      <c r="G35" s="11">
        <v>0</v>
      </c>
      <c r="H35" s="11"/>
      <c r="I35" s="11">
        <v>0</v>
      </c>
      <c r="J35" s="11"/>
      <c r="K35" s="11">
        <v>6090.8</v>
      </c>
      <c r="L35" s="11"/>
      <c r="M35" s="11">
        <v>6090.8</v>
      </c>
    </row>
    <row r="36" spans="1:14" x14ac:dyDescent="0.2">
      <c r="B36" s="2" t="s">
        <v>35</v>
      </c>
      <c r="C36" s="10">
        <v>2730</v>
      </c>
      <c r="E36" s="11">
        <v>0</v>
      </c>
      <c r="F36" s="11"/>
      <c r="G36" s="11">
        <v>0</v>
      </c>
      <c r="H36" s="11"/>
      <c r="I36" s="11">
        <v>0</v>
      </c>
      <c r="J36" s="11"/>
      <c r="K36" s="11">
        <v>0</v>
      </c>
      <c r="L36" s="11"/>
      <c r="M36" s="11">
        <v>0</v>
      </c>
    </row>
    <row r="37" spans="1:14" x14ac:dyDescent="0.2">
      <c r="B37" s="2" t="s">
        <v>36</v>
      </c>
      <c r="C37" s="10">
        <v>2740</v>
      </c>
      <c r="E37" s="11">
        <v>0</v>
      </c>
      <c r="F37" s="11"/>
      <c r="G37" s="11">
        <v>0</v>
      </c>
      <c r="H37" s="11"/>
      <c r="I37" s="11">
        <v>0</v>
      </c>
      <c r="J37" s="11"/>
      <c r="K37" s="11">
        <v>0</v>
      </c>
      <c r="L37" s="11"/>
      <c r="M37" s="11">
        <v>0</v>
      </c>
    </row>
    <row r="38" spans="1:14" x14ac:dyDescent="0.2">
      <c r="B38" s="2" t="s">
        <v>37</v>
      </c>
      <c r="C38" s="10">
        <v>2750</v>
      </c>
      <c r="E38" s="11">
        <v>661821.19999999995</v>
      </c>
      <c r="F38" s="11"/>
      <c r="G38" s="11">
        <v>0</v>
      </c>
      <c r="H38" s="11"/>
      <c r="I38" s="11">
        <v>0</v>
      </c>
      <c r="J38" s="11"/>
      <c r="K38" s="11">
        <v>0</v>
      </c>
      <c r="L38" s="11"/>
      <c r="M38" s="11">
        <v>661821.19999999995</v>
      </c>
    </row>
    <row r="39" spans="1:14" x14ac:dyDescent="0.2">
      <c r="E39" s="11"/>
      <c r="F39" s="11"/>
      <c r="G39" s="11"/>
      <c r="H39" s="11"/>
      <c r="I39" s="11"/>
      <c r="J39" s="11"/>
      <c r="K39" s="11"/>
      <c r="L39" s="11">
        <v>15000</v>
      </c>
      <c r="M39" s="11"/>
    </row>
    <row r="40" spans="1:14" ht="28.5" customHeight="1" x14ac:dyDescent="0.25">
      <c r="B40" s="7" t="s">
        <v>38</v>
      </c>
      <c r="C40" s="7"/>
      <c r="D40" s="7"/>
      <c r="E40" s="16">
        <v>661821.19999999995</v>
      </c>
      <c r="F40" s="11"/>
      <c r="G40" s="16">
        <v>0</v>
      </c>
      <c r="H40" s="11"/>
      <c r="I40" s="16">
        <v>0</v>
      </c>
      <c r="J40" s="11"/>
      <c r="K40" s="16">
        <v>6090.8</v>
      </c>
      <c r="L40" s="11"/>
      <c r="M40" s="16">
        <v>667912</v>
      </c>
      <c r="N40" s="17"/>
    </row>
    <row r="41" spans="1:14" ht="33.75" customHeight="1" thickBot="1" x14ac:dyDescent="0.3">
      <c r="A41" s="7" t="s">
        <v>39</v>
      </c>
      <c r="E41" s="18">
        <v>671692.64999999991</v>
      </c>
      <c r="F41" s="19"/>
      <c r="G41" s="18">
        <v>0</v>
      </c>
      <c r="H41" s="19"/>
      <c r="I41" s="18">
        <v>0</v>
      </c>
      <c r="J41" s="19"/>
      <c r="K41" s="18">
        <v>6090.8</v>
      </c>
      <c r="L41" s="19"/>
      <c r="M41" s="18">
        <v>677783.45</v>
      </c>
    </row>
    <row r="42" spans="1:14" ht="15.75" thickTop="1" x14ac:dyDescent="0.2"/>
    <row r="43" spans="1:14" ht="15" hidden="1" customHeight="1" x14ac:dyDescent="0.2">
      <c r="E43" s="15"/>
      <c r="F43" s="15"/>
      <c r="G43" s="15"/>
      <c r="H43" s="15"/>
      <c r="I43" s="15"/>
      <c r="J43" s="15"/>
      <c r="K43" s="15"/>
      <c r="L43" s="15"/>
      <c r="M43" s="15"/>
    </row>
    <row r="44" spans="1:14" ht="15" hidden="1" customHeight="1" x14ac:dyDescent="0.2"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</row>
    <row r="45" spans="1:14" ht="15" hidden="1" customHeight="1" x14ac:dyDescent="0.2">
      <c r="E45" s="17"/>
    </row>
    <row r="46" spans="1:14" x14ac:dyDescent="0.2">
      <c r="E46" s="15"/>
      <c r="F46" s="15"/>
      <c r="G46" s="15"/>
      <c r="H46" s="15"/>
      <c r="I46" s="15"/>
      <c r="J46" s="15"/>
      <c r="K46" s="15"/>
      <c r="L46" s="15"/>
      <c r="M46" s="15"/>
    </row>
  </sheetData>
  <mergeCells count="4">
    <mergeCell ref="A1:M1"/>
    <mergeCell ref="A2:M2"/>
    <mergeCell ref="A3:M3"/>
    <mergeCell ref="A4:M4"/>
  </mergeCells>
  <pageMargins left="0.45" right="0.45" top="0.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952F2-966D-4E4F-8895-421DFABF77FE}">
  <sheetPr codeName="Sheet10"/>
  <dimension ref="A1:AB69"/>
  <sheetViews>
    <sheetView zoomScale="85" zoomScaleNormal="85" zoomScaleSheetLayoutView="40" workbookViewId="0">
      <pane xSplit="3" ySplit="4" topLeftCell="D33" activePane="bottomRight" state="frozen"/>
      <selection activeCell="N34" sqref="N34"/>
      <selection pane="topRight" activeCell="N34" sqref="N34"/>
      <selection pane="bottomLeft" activeCell="N34" sqref="N34"/>
      <selection pane="bottomRight" activeCell="N34" sqref="N34"/>
    </sheetView>
  </sheetViews>
  <sheetFormatPr defaultColWidth="9.28515625" defaultRowHeight="15" x14ac:dyDescent="0.2"/>
  <cols>
    <col min="1" max="1" width="3.5703125" style="2" customWidth="1"/>
    <col min="2" max="2" width="69.5703125" style="2" customWidth="1"/>
    <col min="3" max="3" width="11.7109375" style="2" customWidth="1"/>
    <col min="4" max="4" width="2.28515625" style="2" customWidth="1"/>
    <col min="5" max="6" width="16.5703125" style="2" customWidth="1"/>
    <col min="7" max="7" width="18.5703125" style="2" bestFit="1" customWidth="1"/>
    <col min="8" max="8" width="16.5703125" style="2" customWidth="1"/>
    <col min="9" max="9" width="2.28515625" style="2" customWidth="1"/>
    <col min="10" max="13" width="16.5703125" style="2" customWidth="1"/>
    <col min="14" max="14" width="4.7109375" style="2" customWidth="1"/>
    <col min="15" max="18" width="16.5703125" style="2" customWidth="1"/>
    <col min="19" max="19" width="2.42578125" style="2" customWidth="1"/>
    <col min="20" max="23" width="16.5703125" style="2" customWidth="1"/>
    <col min="24" max="24" width="3.42578125" style="2" customWidth="1"/>
    <col min="25" max="25" width="17.5703125" style="2" bestFit="1" customWidth="1"/>
    <col min="26" max="26" width="16.5703125" style="2" customWidth="1"/>
    <col min="27" max="27" width="18.5703125" style="2" bestFit="1" customWidth="1"/>
    <col min="28" max="28" width="16.5703125" style="2" customWidth="1"/>
    <col min="29" max="29" width="9.7109375" style="2" customWidth="1"/>
    <col min="30" max="16384" width="9.28515625" style="2"/>
  </cols>
  <sheetData>
    <row r="1" spans="1:28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0"/>
      <c r="N1" s="21"/>
      <c r="O1" s="21"/>
      <c r="P1" s="21"/>
      <c r="Q1" s="21"/>
      <c r="R1" s="21"/>
    </row>
    <row r="2" spans="1:28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0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</row>
    <row r="3" spans="1:28" ht="15.75" x14ac:dyDescent="0.25">
      <c r="A3" s="1" t="s">
        <v>40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0"/>
      <c r="N3" s="21"/>
      <c r="O3" s="21"/>
      <c r="P3" s="21"/>
      <c r="Q3" s="21"/>
      <c r="R3" s="21"/>
    </row>
    <row r="4" spans="1:28" ht="15.75" x14ac:dyDescent="0.25">
      <c r="A4" s="1" t="str">
        <f>[1]PTable!D2</f>
        <v>Month and Year-to-Date Ending November 30, 2023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0"/>
      <c r="N4" s="21"/>
      <c r="O4" s="21"/>
      <c r="P4" s="21"/>
      <c r="Q4" s="21"/>
      <c r="R4" s="21"/>
    </row>
    <row r="6" spans="1:28" ht="15.75" x14ac:dyDescent="0.25">
      <c r="B6" s="20" t="s">
        <v>41</v>
      </c>
      <c r="C6" s="22">
        <v>48</v>
      </c>
      <c r="E6"/>
    </row>
    <row r="7" spans="1:28" ht="15.75" x14ac:dyDescent="0.25">
      <c r="B7" s="20" t="s">
        <v>42</v>
      </c>
      <c r="C7" s="23">
        <v>48</v>
      </c>
      <c r="E7" s="24">
        <f>IF(C6=0,"%",C7/C6)</f>
        <v>1</v>
      </c>
      <c r="F7" s="7" t="s">
        <v>43</v>
      </c>
    </row>
    <row r="8" spans="1:28" ht="15.75" x14ac:dyDescent="0.25">
      <c r="B8" s="20"/>
    </row>
    <row r="9" spans="1:28" ht="15.75" x14ac:dyDescent="0.25">
      <c r="B9" s="20"/>
      <c r="C9" s="20"/>
      <c r="D9" s="20"/>
      <c r="E9" s="25" t="s">
        <v>4</v>
      </c>
      <c r="F9" s="26"/>
      <c r="G9" s="26"/>
      <c r="H9" s="27"/>
      <c r="I9" s="7"/>
      <c r="J9" s="25" t="s">
        <v>44</v>
      </c>
      <c r="K9" s="26"/>
      <c r="L9" s="26"/>
      <c r="M9" s="27"/>
      <c r="N9" s="7"/>
      <c r="O9" s="25" t="s">
        <v>6</v>
      </c>
      <c r="P9" s="26"/>
      <c r="Q9" s="26"/>
      <c r="R9" s="27"/>
      <c r="S9" s="7"/>
      <c r="T9" s="25" t="s">
        <v>7</v>
      </c>
      <c r="U9" s="26"/>
      <c r="V9" s="26"/>
      <c r="W9" s="27"/>
      <c r="Y9" s="25" t="s">
        <v>8</v>
      </c>
      <c r="Z9" s="26"/>
      <c r="AA9" s="26"/>
      <c r="AB9" s="27"/>
    </row>
    <row r="10" spans="1:28" s="29" customFormat="1" ht="63" x14ac:dyDescent="0.25">
      <c r="A10" s="28"/>
      <c r="C10" s="30" t="s">
        <v>45</v>
      </c>
      <c r="E10" s="31" t="s">
        <v>46</v>
      </c>
      <c r="F10" s="31" t="s">
        <v>47</v>
      </c>
      <c r="G10" s="31" t="s">
        <v>48</v>
      </c>
      <c r="H10" s="31" t="s">
        <v>49</v>
      </c>
      <c r="I10" s="32"/>
      <c r="J10" s="31" t="s">
        <v>46</v>
      </c>
      <c r="K10" s="31" t="s">
        <v>47</v>
      </c>
      <c r="L10" s="31" t="s">
        <v>48</v>
      </c>
      <c r="M10" s="31" t="s">
        <v>49</v>
      </c>
      <c r="N10" s="32"/>
      <c r="O10" s="31" t="s">
        <v>46</v>
      </c>
      <c r="P10" s="31" t="s">
        <v>47</v>
      </c>
      <c r="Q10" s="31" t="s">
        <v>48</v>
      </c>
      <c r="R10" s="31" t="s">
        <v>49</v>
      </c>
      <c r="S10" s="32"/>
      <c r="T10" s="31" t="s">
        <v>46</v>
      </c>
      <c r="U10" s="31" t="s">
        <v>47</v>
      </c>
      <c r="V10" s="31" t="s">
        <v>48</v>
      </c>
      <c r="W10" s="31" t="s">
        <v>49</v>
      </c>
      <c r="Y10" s="31" t="s">
        <v>46</v>
      </c>
      <c r="Z10" s="31" t="s">
        <v>47</v>
      </c>
      <c r="AA10" s="31" t="s">
        <v>48</v>
      </c>
      <c r="AB10" s="31" t="s">
        <v>49</v>
      </c>
    </row>
    <row r="12" spans="1:28" ht="15.75" x14ac:dyDescent="0.25">
      <c r="A12" s="7" t="s">
        <v>50</v>
      </c>
    </row>
    <row r="13" spans="1:28" ht="15.75" x14ac:dyDescent="0.25">
      <c r="A13" s="7"/>
      <c r="B13" s="33" t="s">
        <v>51</v>
      </c>
      <c r="C13" s="20"/>
    </row>
    <row r="14" spans="1:28" ht="15.75" x14ac:dyDescent="0.25">
      <c r="A14" s="7"/>
      <c r="B14" s="33" t="s">
        <v>52</v>
      </c>
      <c r="C14" s="34">
        <v>3100</v>
      </c>
      <c r="E14" s="11">
        <f>SUMIF('[1]Revenue and Expense Detail-CLS'!$D$8:$D$238,"GEN-3100",'[1]Revenue and Expense Detail-CLS'!$E$8:$E$238)</f>
        <v>0</v>
      </c>
      <c r="F14" s="11">
        <f>SUMIF('[1]Revenue and Expense Detail-CLS'!$D$8:$D$238,"GEN-3100",'[1]Revenue and Expense Detail-CLS'!$H$8:$H$238)</f>
        <v>0</v>
      </c>
      <c r="G14" s="11">
        <f>SUMIF('[1]Revenue and Expense Detail-CLS'!$D$8:$D$238,"GEN-3100",'[1]Revenue and Expense Detail-CLS'!$K$8:$K$238)</f>
        <v>0</v>
      </c>
      <c r="H14" s="24" t="str">
        <f>IF(G14=0,"%",F14/G14)</f>
        <v>%</v>
      </c>
      <c r="I14" s="35"/>
      <c r="J14" s="11">
        <f>SUMIF('[1]Revenue and Expense Detail-CLS'!$D$8:$D$238,"SPR-3100",'[1]Revenue and Expense Detail-CLS'!$E$8:$E$238)</f>
        <v>0</v>
      </c>
      <c r="K14" s="11">
        <f>SUMIF('[1]Revenue and Expense Detail-CLS'!$D$8:$D$238,"SPR-3100",'[1]Revenue and Expense Detail-CLS'!$H$8:$H$238)</f>
        <v>0</v>
      </c>
      <c r="L14" s="11">
        <f>SUMIF('[1]Revenue and Expense Detail-CLS'!$D$8:$D$238,"SPR-3100",'[1]Revenue and Expense Detail-CLS'!$K$8:$K$238)</f>
        <v>0</v>
      </c>
      <c r="M14" s="24" t="str">
        <f>IF(L14=0,"%",K14/L14)</f>
        <v>%</v>
      </c>
      <c r="N14" s="35"/>
      <c r="O14" s="11">
        <f>SUMIF('[1]Revenue and Expense Detail-CLS'!$D$8:$D$238,"DES-3100",'[1]Revenue and Expense Detail-CLS'!$E$8:$E$238)</f>
        <v>0</v>
      </c>
      <c r="P14" s="11">
        <f>SUMIF('[1]Revenue and Expense Detail-CLS'!$D$8:$D$238,"DES-3100",'[1]Revenue and Expense Detail-CLS'!$H$8:$H$238)</f>
        <v>0</v>
      </c>
      <c r="Q14" s="11">
        <f>SUMIF('[1]Revenue and Expense Detail-CLS'!$D$8:$D$238,"DES-3100",'[1]Revenue and Expense Detail-CLS'!$K$8:$K$238)</f>
        <v>0</v>
      </c>
      <c r="R14" s="24" t="str">
        <f>IF(Q14=0,"%",P14/Q14)</f>
        <v>%</v>
      </c>
      <c r="S14" s="35"/>
      <c r="T14" s="11">
        <f>SUMIF('[1]Revenue and Expense Detail-CLS'!$D$8:$D$238,"CAO-3100",'[1]Revenue and Expense Detail-CLS'!$E$8:$E$238)</f>
        <v>0</v>
      </c>
      <c r="U14" s="11">
        <f>SUMIF('[1]Revenue and Expense Detail-CLS'!$D$8:$D$238,"CAO-3100",'[1]Revenue and Expense Detail-CLS'!$H$8:$H$238)</f>
        <v>0</v>
      </c>
      <c r="V14" s="11">
        <f>SUMIF('[1]Revenue and Expense Detail-CLS'!$D$8:$D$238,"CAO-3100",'[1]Revenue and Expense Detail-CLS'!$K$8:$K$238)</f>
        <v>0</v>
      </c>
      <c r="W14" s="24" t="str">
        <f>IF(V14=0,"%",U14/V14)</f>
        <v>%</v>
      </c>
      <c r="X14" s="35"/>
      <c r="Y14" s="11">
        <f>E14+J14+O14+T14</f>
        <v>0</v>
      </c>
      <c r="Z14" s="11">
        <f t="shared" ref="Z14:AA24" si="0">F14+K14+P14+U14</f>
        <v>0</v>
      </c>
      <c r="AA14" s="11">
        <f>G14+L14+Q14+V14</f>
        <v>0</v>
      </c>
      <c r="AB14" s="24" t="str">
        <f>IF(AA14=0,"%",Z14/AA14)</f>
        <v>%</v>
      </c>
    </row>
    <row r="15" spans="1:28" ht="15.75" x14ac:dyDescent="0.25">
      <c r="A15" s="7"/>
      <c r="B15" s="33" t="s">
        <v>53</v>
      </c>
      <c r="C15" s="36">
        <v>3200</v>
      </c>
      <c r="E15" s="11">
        <f>SUMIF('[1]Revenue and Expense Detail-CLS'!$D$8:$D$238,"GEN-3200",'[1]Revenue and Expense Detail-CLS'!$E$8:$E$238)</f>
        <v>0</v>
      </c>
      <c r="F15" s="11">
        <f>SUMIF('[1]Revenue and Expense Detail-CLS'!$D$8:$D$238,"GEN-3200",'[1]Revenue and Expense Detail-CLS'!$H$8:$H$238)</f>
        <v>0</v>
      </c>
      <c r="G15" s="11">
        <f>SUMIF('[1]Revenue and Expense Detail-CLS'!$D$8:$D$238,"GEN-3200",'[1]Revenue and Expense Detail-CLS'!$K$8:$K$238)</f>
        <v>60000</v>
      </c>
      <c r="H15" s="24">
        <f>IF(G15=0,"%",F15/G15)</f>
        <v>0</v>
      </c>
      <c r="I15" s="19"/>
      <c r="J15" s="11">
        <f>SUMIF('[1]Revenue and Expense Detail-CLS'!$D$8:$D$238,"SPR-3200",'[1]Revenue and Expense Detail-CLS'!$E$8:$E$238)</f>
        <v>2250</v>
      </c>
      <c r="K15" s="11">
        <f>SUMIF('[1]Revenue and Expense Detail-CLS'!$D$8:$D$238,"SPR-3200",'[1]Revenue and Expense Detail-CLS'!$H$8:$H$238)</f>
        <v>10122</v>
      </c>
      <c r="L15" s="11">
        <f>SUMIF('[1]Revenue and Expense Detail-CLS'!$D$8:$D$238,"SPR-3200",'[1]Revenue and Expense Detail-CLS'!$K$8:$K$238)</f>
        <v>25000</v>
      </c>
      <c r="M15" s="24">
        <f>IF(L15=0,"%",K15/L15)</f>
        <v>0.40488000000000002</v>
      </c>
      <c r="N15" s="19"/>
      <c r="O15" s="11">
        <f>SUMIF('[1]Revenue and Expense Detail-CLS'!$D$8:$D$238,"DES-3200",'[1]Revenue and Expense Detail-CLS'!$E$8:$E$238)</f>
        <v>0</v>
      </c>
      <c r="P15" s="11">
        <f>SUMIF('[1]Revenue and Expense Detail-CLS'!$D$8:$D$238,"DES-3200",'[1]Revenue and Expense Detail-CLS'!$H$8:$H$238)</f>
        <v>0</v>
      </c>
      <c r="Q15" s="11">
        <f>SUMIF('[1]Revenue and Expense Detail-CLS'!$D$8:$D$238,"DES-3200",'[1]Revenue and Expense Detail-CLS'!$K$8:$K$238)</f>
        <v>0</v>
      </c>
      <c r="R15" s="24" t="str">
        <f>IF(Q15=0,"%",P15/Q15)</f>
        <v>%</v>
      </c>
      <c r="S15" s="19"/>
      <c r="T15" s="11">
        <f>SUMIF('[1]Revenue and Expense Detail-CLS'!$D$8:$D$238,"CAO-3200",'[1]Revenue and Expense Detail-CLS'!$E$8:$E$238)</f>
        <v>0</v>
      </c>
      <c r="U15" s="11">
        <f>SUMIF('[1]Revenue and Expense Detail-CLS'!$D$8:$D$238,"CAO-3200",'[1]Revenue and Expense Detail-CLS'!$H$8:$H$238)</f>
        <v>0</v>
      </c>
      <c r="V15" s="11">
        <f>SUMIF('[1]Revenue and Expense Detail-CLS'!$D$8:$D$238,"CAO-3200",'[1]Revenue and Expense Detail-CLS'!$K$8:$K$238)</f>
        <v>0</v>
      </c>
      <c r="W15" s="24" t="str">
        <f>IF(V15=0,"%",U15/V15)</f>
        <v>%</v>
      </c>
      <c r="X15" s="19"/>
      <c r="Y15" s="11">
        <f>E15+J15+O15+T15</f>
        <v>2250</v>
      </c>
      <c r="Z15" s="37">
        <f t="shared" si="0"/>
        <v>10122</v>
      </c>
      <c r="AA15" s="37">
        <f t="shared" si="0"/>
        <v>85000</v>
      </c>
      <c r="AB15" s="24">
        <f t="shared" ref="AB15:AB25" si="1">IF(AA15=0,"%",Z15/AA15)</f>
        <v>0.11908235294117647</v>
      </c>
    </row>
    <row r="16" spans="1:28" ht="15.75" x14ac:dyDescent="0.25">
      <c r="A16" s="7"/>
      <c r="B16" s="33" t="s">
        <v>54</v>
      </c>
      <c r="C16" s="34"/>
      <c r="E16" s="11"/>
      <c r="F16" s="11"/>
      <c r="G16" s="11"/>
      <c r="H16" s="24"/>
      <c r="I16" s="19"/>
      <c r="J16" s="11"/>
      <c r="K16" s="11"/>
      <c r="L16" s="11"/>
      <c r="M16" s="24"/>
      <c r="N16" s="19"/>
      <c r="O16" s="11"/>
      <c r="P16" s="11"/>
      <c r="Q16" s="11"/>
      <c r="R16" s="24"/>
      <c r="S16" s="19"/>
      <c r="T16" s="11"/>
      <c r="U16" s="11"/>
      <c r="V16" s="11"/>
      <c r="W16" s="24"/>
      <c r="X16" s="19"/>
      <c r="Y16" s="11"/>
      <c r="Z16" s="37"/>
      <c r="AA16" s="37"/>
      <c r="AB16" s="24"/>
    </row>
    <row r="17" spans="1:28" ht="15.75" x14ac:dyDescent="0.25">
      <c r="A17" s="7"/>
      <c r="B17" s="33" t="s">
        <v>55</v>
      </c>
      <c r="C17" s="34">
        <v>3310</v>
      </c>
      <c r="E17" s="11">
        <f>SUMIF('[1]Revenue and Expense Detail-CLS'!$D$8:$D$238,"GEN-3310",'[1]Revenue and Expense Detail-CLS'!$E$8:$E$238)</f>
        <v>79628.92</v>
      </c>
      <c r="F17" s="11">
        <f>SUMIF('[1]Revenue and Expense Detail-CLS'!$D$8:$D$238,"GEN-3310",'[1]Revenue and Expense Detail-CLS'!$H$8:$H$238)</f>
        <v>398144.6</v>
      </c>
      <c r="G17" s="11">
        <f>SUMIF('[1]Revenue and Expense Detail-CLS'!$D$8:$D$238,"GEN-3310",'[1]Revenue and Expense Detail-CLS'!$K$8:$K$238)</f>
        <v>914786</v>
      </c>
      <c r="H17" s="24">
        <f>IF(G17=0,"%",F17/G17)</f>
        <v>0.4352325024650574</v>
      </c>
      <c r="I17" s="19"/>
      <c r="J17" s="11">
        <f>SUMIF('[1]Revenue and Expense Detail-CLS'!$D$8:$D$238,"SPR-3310",'[1]Revenue and Expense Detail-CLS'!$E$8:$E$238)</f>
        <v>0</v>
      </c>
      <c r="K17" s="11">
        <f>SUMIF('[1]Revenue and Expense Detail-CLS'!$D$8:$D$238,"SPR-3310",'[1]Revenue and Expense Detail-CLS'!$H$8:$H$238)</f>
        <v>0</v>
      </c>
      <c r="L17" s="11">
        <f>SUMIF('[1]Revenue and Expense Detail-CLS'!$D$8:$D$238,"SPR-3310",'[1]Revenue and Expense Detail-CLS'!$K$8:$K$238)</f>
        <v>0</v>
      </c>
      <c r="M17" s="24" t="str">
        <f>IF(L17=0,"%",K17/L17)</f>
        <v>%</v>
      </c>
      <c r="N17" s="19"/>
      <c r="O17" s="11">
        <f>SUMIF('[1]Revenue and Expense Detail-CLS'!$D$8:$D$238,"DES-3310",'[1]Revenue and Expense Detail-CLS'!$E$8:$E$238)</f>
        <v>0</v>
      </c>
      <c r="P17" s="11">
        <f>SUMIF('[1]Revenue and Expense Detail-CLS'!$D$8:$D$238,"DES-3310",'[1]Revenue and Expense Detail-CLS'!$H$8:$H$238)</f>
        <v>0</v>
      </c>
      <c r="Q17" s="11">
        <f>SUMIF('[1]Revenue and Expense Detail-CLS'!$D$8:$D$238,"DES-3310",'[1]Revenue and Expense Detail-CLS'!$K$8:$K$238)</f>
        <v>0</v>
      </c>
      <c r="R17" s="24" t="str">
        <f>IF(Q17=0,"%",P17/Q17)</f>
        <v>%</v>
      </c>
      <c r="S17" s="19"/>
      <c r="T17" s="11">
        <f>SUMIF('[1]Revenue and Expense Detail-CLS'!$D$8:$D$238,"CAO-3310",'[1]Revenue and Expense Detail-CLS'!$E$8:$E$238)</f>
        <v>0</v>
      </c>
      <c r="U17" s="11">
        <f>SUMIF('[1]Revenue and Expense Detail-CLS'!$D$8:$D$238,"CAO-3310",'[1]Revenue and Expense Detail-CLS'!$H$8:$H$238)</f>
        <v>0</v>
      </c>
      <c r="V17" s="11">
        <f>SUMIF('[1]Revenue and Expense Detail-CLS'!$D$8:$D$238,"CAO-3310",'[1]Revenue and Expense Detail-CLS'!$K$8:$K$238)</f>
        <v>0</v>
      </c>
      <c r="W17" s="24" t="str">
        <f>IF(V17=0,"%",U17/V17)</f>
        <v>%</v>
      </c>
      <c r="X17" s="19"/>
      <c r="Y17" s="11">
        <f t="shared" ref="Y17:Y25" si="2">E17+J17+O17+T17</f>
        <v>79628.92</v>
      </c>
      <c r="Z17" s="37">
        <f>F17+K17+P17+U17</f>
        <v>398144.6</v>
      </c>
      <c r="AA17" s="37">
        <f t="shared" si="0"/>
        <v>914786</v>
      </c>
      <c r="AB17" s="24">
        <f t="shared" si="1"/>
        <v>0.4352325024650574</v>
      </c>
    </row>
    <row r="18" spans="1:28" ht="15.75" x14ac:dyDescent="0.25">
      <c r="A18" s="7"/>
      <c r="B18" s="33" t="s">
        <v>56</v>
      </c>
      <c r="C18" s="34">
        <v>3397</v>
      </c>
      <c r="E18" s="11">
        <f>SUMIF('[1]Revenue and Expense Detail-CLS'!$D$8:$D$238,"GEN-3397",'[1]Revenue and Expense Detail-CLS'!$E$8:$E$238)</f>
        <v>0</v>
      </c>
      <c r="F18" s="11">
        <f>SUMIF('[1]Revenue and Expense Detail-CLS'!$D$8:$D$238,"GEN-3397",'[1]Revenue and Expense Detail-CLS'!$H$8:$H$238)</f>
        <v>0</v>
      </c>
      <c r="G18" s="11">
        <f>SUMIF('[1]Revenue and Expense Detail-CLS'!$D$8:$D$238,"GEN-3397",'[1]Revenue and Expense Detail-CLS'!$K$8:$K$238)</f>
        <v>0</v>
      </c>
      <c r="H18" s="24" t="str">
        <f>IF(G18=0,"%",F18/G18)</f>
        <v>%</v>
      </c>
      <c r="I18" s="19"/>
      <c r="J18" s="11">
        <f>SUMIF('[1]Revenue and Expense Detail-CLS'!$D$8:$D$238,"SPR-3397",'[1]Revenue and Expense Detail-CLS'!$E$8:$E$238)</f>
        <v>0</v>
      </c>
      <c r="K18" s="11">
        <f>SUMIF('[1]Revenue and Expense Detail-CLS'!$D$8:$D$238,"SPR-3397",'[1]Revenue and Expense Detail-CLS'!$H$8:$H$238)</f>
        <v>0</v>
      </c>
      <c r="L18" s="11">
        <f>SUMIF('[1]Revenue and Expense Detail-CLS'!$D$8:$D$238,"SPR-3397",'[1]Revenue and Expense Detail-CLS'!$K$8:$K$238)</f>
        <v>0</v>
      </c>
      <c r="M18" s="24" t="str">
        <f t="shared" ref="M18:M26" si="3">IF(L18=0,"%",K18/L18)</f>
        <v>%</v>
      </c>
      <c r="N18" s="19"/>
      <c r="O18" s="11">
        <f>SUMIF('[1]Revenue and Expense Detail-CLS'!$D$8:$D$238,"DES-3397",'[1]Revenue and Expense Detail-CLS'!$E$8:$E$238)</f>
        <v>0</v>
      </c>
      <c r="P18" s="11">
        <f>SUMIF('[1]Revenue and Expense Detail-CLS'!$D$8:$D$238,"DES-3397",'[1]Revenue and Expense Detail-CLS'!$H$8:$H$238)</f>
        <v>0</v>
      </c>
      <c r="Q18" s="11">
        <f>SUMIF('[1]Revenue and Expense Detail-CLS'!$D$8:$D$238,"DES-3397",'[1]Revenue and Expense Detail-CLS'!$K$8:$K$238)</f>
        <v>0</v>
      </c>
      <c r="R18" s="24" t="str">
        <f t="shared" ref="R18:R25" si="4">IF(Q18=0,"%",P18/Q18)</f>
        <v>%</v>
      </c>
      <c r="S18" s="19"/>
      <c r="T18" s="11">
        <f>SUMIF('[1]Revenue and Expense Detail-CLS'!$D$8:$D$238,"CAO-3397",'[1]Revenue and Expense Detail-CLS'!$E$8:$E$238)</f>
        <v>2248</v>
      </c>
      <c r="U18" s="11">
        <f>SUMIF('[1]Revenue and Expense Detail-CLS'!$D$8:$D$238,"CAO-3397",'[1]Revenue and Expense Detail-CLS'!$H$8:$H$238)</f>
        <v>11274</v>
      </c>
      <c r="V18" s="11">
        <f>SUMIF('[1]Revenue and Expense Detail-CLS'!$D$8:$D$238,"CAO-3397",'[1]Revenue and Expense Detail-CLS'!$K$8:$K$238)</f>
        <v>24960</v>
      </c>
      <c r="W18" s="24">
        <f t="shared" ref="W18:W21" si="5">IF(V18=0,"%",U18/V18)</f>
        <v>0.45168269230769231</v>
      </c>
      <c r="X18" s="19"/>
      <c r="Y18" s="11">
        <f t="shared" si="2"/>
        <v>2248</v>
      </c>
      <c r="Z18" s="37">
        <f>F18+K18+P18+U18</f>
        <v>11274</v>
      </c>
      <c r="AA18" s="37">
        <f t="shared" si="0"/>
        <v>24960</v>
      </c>
      <c r="AB18" s="24">
        <f t="shared" si="1"/>
        <v>0.45168269230769231</v>
      </c>
    </row>
    <row r="19" spans="1:28" ht="15.75" x14ac:dyDescent="0.25">
      <c r="A19" s="7"/>
      <c r="B19" s="33" t="s">
        <v>57</v>
      </c>
      <c r="C19" s="34">
        <v>3355</v>
      </c>
      <c r="E19" s="11">
        <f>SUMIF('[1]Revenue and Expense Detail-CLS'!$D$8:$D$238,"GEN-3355",'[1]Revenue and Expense Detail-CLS'!$E$8:$E$238)</f>
        <v>0</v>
      </c>
      <c r="F19" s="11">
        <f>SUMIF('[1]Revenue and Expense Detail-CLS'!$D$8:$D$238,"GEN-3355",'[1]Revenue and Expense Detail-CLS'!$H$8:$H$238)</f>
        <v>0</v>
      </c>
      <c r="G19" s="11">
        <f>SUMIF('[1]Revenue and Expense Detail-CLS'!$D$8:$D$238,"GEN-3355",'[1]Revenue and Expense Detail-CLS'!$K$8:$K$238)</f>
        <v>0</v>
      </c>
      <c r="H19" s="24" t="str">
        <f>IF(G19=0,"%",F19/G19)</f>
        <v>%</v>
      </c>
      <c r="I19" s="19"/>
      <c r="J19" s="11">
        <f>SUMIF('[1]Revenue and Expense Detail-CLS'!$D$8:$D$238,"SPR-3355",'[1]Revenue and Expense Detail-CLS'!$E$8:$E$238)</f>
        <v>0</v>
      </c>
      <c r="K19" s="11">
        <f>SUMIF('[1]Revenue and Expense Detail-CLS'!$D$8:$D$238,"SPR-3355",'[1]Revenue and Expense Detail-CLS'!$H$8:$H$238)</f>
        <v>0</v>
      </c>
      <c r="L19" s="11">
        <f>SUMIF('[1]Revenue and Expense Detail-CLS'!$D$8:$D$238,"SPR-3355",'[1]Revenue and Expense Detail-CLS'!$K$8:$K$238)</f>
        <v>0</v>
      </c>
      <c r="M19" s="24" t="str">
        <f t="shared" si="3"/>
        <v>%</v>
      </c>
      <c r="N19" s="19"/>
      <c r="O19" s="11">
        <f>SUMIF('[1]Revenue and Expense Detail-CLS'!$D$8:$D$238,"DES-3355",'[1]Revenue and Expense Detail-CLS'!$E$8:$E$238)</f>
        <v>0</v>
      </c>
      <c r="P19" s="11">
        <f>SUMIF('[1]Revenue and Expense Detail-CLS'!$D$8:$D$238,"DES-3355",'[1]Revenue and Expense Detail-CLS'!$H$8:$H$238)</f>
        <v>0</v>
      </c>
      <c r="Q19" s="11">
        <f>SUMIF('[1]Revenue and Expense Detail-CLS'!$D$8:$D$238,"DES-3355",'[1]Revenue and Expense Detail-CLS'!$K$8:$K$238)</f>
        <v>0</v>
      </c>
      <c r="R19" s="24" t="str">
        <f t="shared" si="4"/>
        <v>%</v>
      </c>
      <c r="S19" s="19"/>
      <c r="T19" s="11">
        <f>SUMIF('[1]Revenue and Expense Detail-CLS'!$D$8:$D$238,"CAO-3355",'[1]Revenue and Expense Detail-CLS'!$E$8:$E$238)</f>
        <v>0</v>
      </c>
      <c r="U19" s="11">
        <f>SUMIF('[1]Revenue and Expense Detail-CLS'!$D$8:$D$238,"CAO-3355",'[1]Revenue and Expense Detail-CLS'!$H$8:$H$238)</f>
        <v>0</v>
      </c>
      <c r="V19" s="11">
        <f>SUMIF('[1]Revenue and Expense Detail-CLS'!$D$8:$D$238,"CAO-3355",'[1]Revenue and Expense Detail-CLS'!$K$8:$K$238)</f>
        <v>0</v>
      </c>
      <c r="W19" s="24" t="str">
        <f t="shared" si="5"/>
        <v>%</v>
      </c>
      <c r="X19" s="19"/>
      <c r="Y19" s="11">
        <f t="shared" si="2"/>
        <v>0</v>
      </c>
      <c r="Z19" s="37">
        <f>F19+K19+P19+U19</f>
        <v>0</v>
      </c>
      <c r="AA19" s="37">
        <f t="shared" si="0"/>
        <v>0</v>
      </c>
      <c r="AB19" s="24" t="str">
        <f t="shared" si="1"/>
        <v>%</v>
      </c>
    </row>
    <row r="20" spans="1:28" ht="15.75" x14ac:dyDescent="0.25">
      <c r="A20" s="7"/>
      <c r="B20" s="33" t="s">
        <v>58</v>
      </c>
      <c r="C20" s="34">
        <v>3361</v>
      </c>
      <c r="E20" s="11">
        <f>SUMIF('[1]Revenue and Expense Detail-CLS'!$D$8:$D$238,"GEN-3361",'[1]Revenue and Expense Detail-CLS'!$E$8:$E$238)</f>
        <v>0</v>
      </c>
      <c r="F20" s="11">
        <f>SUMIF('[1]Revenue and Expense Detail-CLS'!$D$8:$D$238,"GEN-3361",'[1]Revenue and Expense Detail-CLS'!$H$8:$H$238)</f>
        <v>0</v>
      </c>
      <c r="G20" s="11">
        <f>SUMIF('[1]Revenue and Expense Detail-CLS'!$D$8:$D$238,"GEN-3361",'[1]Revenue and Expense Detail-CLS'!$K$8:$K$238)</f>
        <v>0</v>
      </c>
      <c r="H20" s="24" t="str">
        <f>IF(G20=0,"%",F20/G20)</f>
        <v>%</v>
      </c>
      <c r="I20" s="19"/>
      <c r="J20" s="11">
        <f>SUMIF('[1]Revenue and Expense Detail-CLS'!$D$8:$D$238,"SPR-3361",'[1]Revenue and Expense Detail-CLS'!$E$8:$E$238)</f>
        <v>0</v>
      </c>
      <c r="K20" s="11">
        <f>SUMIF('[1]Revenue and Expense Detail-CLS'!$D$8:$D$238,"SPR-3361",'[1]Revenue and Expense Detail-CLS'!$H$8:$H$238)</f>
        <v>0</v>
      </c>
      <c r="L20" s="11">
        <f>SUMIF('[1]Revenue and Expense Detail-CLS'!$D$8:$D$238,"SPR-3361",'[1]Revenue and Expense Detail-CLS'!$K$8:$K$238)</f>
        <v>0</v>
      </c>
      <c r="M20" s="24" t="str">
        <f t="shared" si="3"/>
        <v>%</v>
      </c>
      <c r="N20" s="19"/>
      <c r="O20" s="11">
        <f>SUMIF('[1]Revenue and Expense Detail-CLS'!$D$8:$D$238,"DES-3361",'[1]Revenue and Expense Detail-CLS'!$E$8:$E$238)</f>
        <v>0</v>
      </c>
      <c r="P20" s="11">
        <f>SUMIF('[1]Revenue and Expense Detail-CLS'!$D$8:$D$238,"DES-3361",'[1]Revenue and Expense Detail-CLS'!$H$8:$H$238)</f>
        <v>0</v>
      </c>
      <c r="Q20" s="11">
        <f>SUMIF('[1]Revenue and Expense Detail-CLS'!$D$8:$D$238,"DES-3361",'[1]Revenue and Expense Detail-CLS'!$K$8:$K$238)</f>
        <v>0</v>
      </c>
      <c r="R20" s="24" t="str">
        <f t="shared" si="4"/>
        <v>%</v>
      </c>
      <c r="S20" s="19"/>
      <c r="T20" s="11">
        <f>SUMIF('[1]Revenue and Expense Detail-CLS'!$D$8:$D$238,"CAO-3361",'[1]Revenue and Expense Detail-CLS'!$E$8:$E$238)</f>
        <v>0</v>
      </c>
      <c r="U20" s="11">
        <f>SUMIF('[1]Revenue and Expense Detail-CLS'!$D$8:$D$238,"CAO-3361",'[1]Revenue and Expense Detail-CLS'!$H$8:$H$238)</f>
        <v>0</v>
      </c>
      <c r="V20" s="11">
        <f>SUMIF('[1]Revenue and Expense Detail-CLS'!$D$8:$D$238,"CAO-3361",'[1]Revenue and Expense Detail-CLS'!$K$8:$K$238)</f>
        <v>0</v>
      </c>
      <c r="W20" s="24" t="str">
        <f t="shared" si="5"/>
        <v>%</v>
      </c>
      <c r="X20" s="19"/>
      <c r="Y20" s="11">
        <f t="shared" si="2"/>
        <v>0</v>
      </c>
      <c r="Z20" s="37">
        <f t="shared" si="0"/>
        <v>0</v>
      </c>
      <c r="AA20" s="37">
        <f t="shared" si="0"/>
        <v>0</v>
      </c>
      <c r="AB20" s="24" t="str">
        <f t="shared" si="1"/>
        <v>%</v>
      </c>
    </row>
    <row r="21" spans="1:28" ht="15.75" x14ac:dyDescent="0.25">
      <c r="A21" s="7"/>
      <c r="B21" s="33" t="s">
        <v>59</v>
      </c>
      <c r="C21" s="34" t="s">
        <v>60</v>
      </c>
      <c r="E21" s="11">
        <f>SUMIF('[1]Revenue and Expense Detail-CLS'!$D$8:$D$238,"GEN-33XX",'[1]Revenue and Expense Detail-CLS'!$E$8:$E$238)</f>
        <v>0</v>
      </c>
      <c r="F21" s="11">
        <f>SUMIF('[1]Revenue and Expense Detail-CLS'!$D$8:$D$238,"GEN-33XX",'[1]Revenue and Expense Detail-CLS'!$H$8:$H$238)</f>
        <v>900</v>
      </c>
      <c r="G21" s="11">
        <f>SUMIF('[1]Revenue and Expense Detail-CLS'!$D$8:$D$238,"GEN-33XX",'[1]Revenue and Expense Detail-CLS'!$K$8:$K$238)</f>
        <v>0</v>
      </c>
      <c r="H21" s="24" t="str">
        <f>IF(G21=0,"%",F21/G21)</f>
        <v>%</v>
      </c>
      <c r="I21" s="19"/>
      <c r="J21" s="11">
        <f>SUMIF('[1]Revenue and Expense Detail-CLS'!$D$8:$D$238,"SPR-33XX",'[1]Revenue and Expense Detail-CLS'!$E$8:$E$238)</f>
        <v>0</v>
      </c>
      <c r="K21" s="11">
        <f>SUMIF('[1]Revenue and Expense Detail-CLS'!$D$8:$D$238,"SPR-33XX",'[1]Revenue and Expense Detail-CLS'!$H$8:$H$238)</f>
        <v>0</v>
      </c>
      <c r="L21" s="11">
        <f>SUMIF('[1]Revenue and Expense Detail-CLS'!$D$8:$D$238,"SPR-33XX",'[1]Revenue and Expense Detail-CLS'!$K$8:$K$238)</f>
        <v>0</v>
      </c>
      <c r="M21" s="24" t="str">
        <f t="shared" si="3"/>
        <v>%</v>
      </c>
      <c r="N21" s="19"/>
      <c r="O21" s="11">
        <f>SUMIF('[1]Revenue and Expense Detail-CLS'!$D$8:$D$238,"DES-33XX",'[1]Revenue and Expense Detail-CLS'!$E$8:$E$238)</f>
        <v>0</v>
      </c>
      <c r="P21" s="11">
        <f>SUMIF('[1]Revenue and Expense Detail-CLS'!$D$8:$D$238,"DES-33XX",'[1]Revenue and Expense Detail-CLS'!$H$8:$H$238)</f>
        <v>0</v>
      </c>
      <c r="Q21" s="11">
        <f>SUMIF('[1]Revenue and Expense Detail-CLS'!$D$8:$D$238,"DES-33XX",'[1]Revenue and Expense Detail-CLS'!$K$8:$K$238)</f>
        <v>0</v>
      </c>
      <c r="R21" s="24" t="str">
        <f t="shared" si="4"/>
        <v>%</v>
      </c>
      <c r="S21" s="19"/>
      <c r="T21" s="11">
        <f>SUMIF('[1]Revenue and Expense Detail-CLS'!$D$8:$D$238,"CAO-33XX",'[1]Revenue and Expense Detail-CLS'!$E$8:$E$238)</f>
        <v>0</v>
      </c>
      <c r="U21" s="11">
        <f>SUMIF('[1]Revenue and Expense Detail-CLS'!$D$8:$D$238,"CAO-33XX",'[1]Revenue and Expense Detail-CLS'!$H$8:$H$238)</f>
        <v>0</v>
      </c>
      <c r="V21" s="11">
        <f>SUMIF('[1]Revenue and Expense Detail-CLS'!$D$8:$D$238,"CAO-33XX",'[1]Revenue and Expense Detail-CLS'!$K$8:$K$238)</f>
        <v>0</v>
      </c>
      <c r="W21" s="24" t="str">
        <f t="shared" si="5"/>
        <v>%</v>
      </c>
      <c r="X21" s="19"/>
      <c r="Y21" s="11">
        <f t="shared" si="2"/>
        <v>0</v>
      </c>
      <c r="Z21" s="37">
        <f>F21+K21+P21+U21</f>
        <v>900</v>
      </c>
      <c r="AA21" s="37">
        <f t="shared" si="0"/>
        <v>0</v>
      </c>
      <c r="AB21" s="24" t="str">
        <f t="shared" si="1"/>
        <v>%</v>
      </c>
    </row>
    <row r="22" spans="1:28" x14ac:dyDescent="0.2">
      <c r="B22" s="33" t="s">
        <v>61</v>
      </c>
      <c r="C22" s="34"/>
      <c r="E22" s="11"/>
      <c r="F22" s="11"/>
      <c r="G22" s="11"/>
      <c r="H22" s="24"/>
      <c r="I22" s="19"/>
      <c r="J22" s="11"/>
      <c r="K22" s="11"/>
      <c r="L22" s="11"/>
      <c r="M22" s="24"/>
      <c r="N22" s="19"/>
      <c r="O22" s="11"/>
      <c r="P22" s="11"/>
      <c r="Q22" s="11"/>
      <c r="R22" s="24"/>
      <c r="S22" s="19"/>
      <c r="T22" s="11"/>
      <c r="U22" s="11"/>
      <c r="V22" s="11"/>
      <c r="W22" s="24"/>
      <c r="X22" s="19"/>
      <c r="Y22" s="11"/>
      <c r="Z22" s="37"/>
      <c r="AA22" s="37"/>
      <c r="AB22" s="24"/>
    </row>
    <row r="23" spans="1:28" x14ac:dyDescent="0.2">
      <c r="B23" s="33" t="s">
        <v>62</v>
      </c>
      <c r="C23" s="34">
        <v>3430</v>
      </c>
      <c r="E23" s="11">
        <f>SUMIF('[1]Revenue and Expense Detail-CLS'!$D$8:$D$238,"GEN-3430",'[1]Revenue and Expense Detail-CLS'!$E$8:$E$238)</f>
        <v>0</v>
      </c>
      <c r="F23" s="11">
        <f>SUMIF('[1]Revenue and Expense Detail-CLS'!$D$8:$D$238,"GEN-3430",'[1]Revenue and Expense Detail-CLS'!$H$8:$H$238)</f>
        <v>326.74</v>
      </c>
      <c r="G23" s="11">
        <f>SUMIF('[1]Revenue and Expense Detail-CLS'!$D$8:$D$238,"GEN-3430",'[1]Revenue and Expense Detail-CLS'!$K$8:$K$238)</f>
        <v>689.78</v>
      </c>
      <c r="H23" s="24">
        <f>IF(G23=0,"%",F23/G23)</f>
        <v>0.47368726260546845</v>
      </c>
      <c r="I23" s="11"/>
      <c r="J23" s="11">
        <f>SUMIF('[1]Revenue and Expense Detail-CLS'!$D$8:$D$238,"SPR-3430",'[1]Revenue and Expense Detail-CLS'!$E$8:$E$238)</f>
        <v>0</v>
      </c>
      <c r="K23" s="11">
        <f>SUMIF('[1]Revenue and Expense Detail-CLS'!$D$8:$D$238,"SPR-3430",'[1]Revenue and Expense Detail-CLS'!$H$8:$H$238)</f>
        <v>0</v>
      </c>
      <c r="L23" s="11">
        <f>SUMIF('[1]Revenue and Expense Detail-CLS'!$D$8:$D$238,"SPR-3430",'[1]Revenue and Expense Detail-CLS'!$K$8:$K$238)</f>
        <v>0</v>
      </c>
      <c r="M23" s="24" t="str">
        <f t="shared" si="3"/>
        <v>%</v>
      </c>
      <c r="N23" s="11"/>
      <c r="O23" s="11">
        <f>SUMIF('[1]Revenue and Expense Detail-CLS'!$D$8:$D$238,"DES-3430",'[1]Revenue and Expense Detail-CLS'!$E$8:$E$238)</f>
        <v>0</v>
      </c>
      <c r="P23" s="11">
        <f>SUMIF('[1]Revenue and Expense Detail-CLS'!$D$8:$D$238,"DES-3430",'[1]Revenue and Expense Detail-CLS'!$H$8:$H$238)</f>
        <v>0</v>
      </c>
      <c r="Q23" s="11">
        <f>SUMIF('[1]Revenue and Expense Detail-CLS'!$D$8:$D$238,"DES-3430",'[1]Revenue and Expense Detail-CLS'!$K$8:$K$238)</f>
        <v>0</v>
      </c>
      <c r="R23" s="24" t="str">
        <f t="shared" si="4"/>
        <v>%</v>
      </c>
      <c r="S23" s="11"/>
      <c r="T23" s="11">
        <f>SUMIF('[1]Revenue and Expense Detail-CLS'!$D$8:$D$238,"CAO-3430",'[1]Revenue and Expense Detail-CLS'!$E$8:$E$238)</f>
        <v>0</v>
      </c>
      <c r="U23" s="11">
        <f>SUMIF('[1]Revenue and Expense Detail-CLS'!$D$8:$D$238,"CAO-3430",'[1]Revenue and Expense Detail-CLS'!$H$8:$H$238)</f>
        <v>0</v>
      </c>
      <c r="V23" s="11">
        <f>SUMIF('[1]Revenue and Expense Detail-CLS'!$D$8:$D$238,"CAO-3430",'[1]Revenue and Expense Detail-CLS'!$K$8:$K$238)</f>
        <v>0</v>
      </c>
      <c r="W23" s="24" t="str">
        <f t="shared" ref="W23:W25" si="6">IF(V23=0,"%",U23/V23)</f>
        <v>%</v>
      </c>
      <c r="X23" s="11"/>
      <c r="Y23" s="11">
        <f t="shared" si="2"/>
        <v>0</v>
      </c>
      <c r="Z23" s="37">
        <f>F23+K23+P23+U23</f>
        <v>326.74</v>
      </c>
      <c r="AA23" s="37">
        <f t="shared" si="0"/>
        <v>689.78</v>
      </c>
      <c r="AB23" s="24">
        <f t="shared" si="1"/>
        <v>0.47368726260546845</v>
      </c>
    </row>
    <row r="24" spans="1:28" x14ac:dyDescent="0.2">
      <c r="B24" s="33" t="s">
        <v>63</v>
      </c>
      <c r="C24" s="34">
        <v>3413</v>
      </c>
      <c r="E24" s="11">
        <f>SUMIF('[1]Revenue and Expense Detail-CLS'!$D$8:$D$238,"GEN-3413",'[1]Revenue and Expense Detail-CLS'!$E$8:$E$238)</f>
        <v>0</v>
      </c>
      <c r="F24" s="11">
        <f>SUMIF('[1]Revenue and Expense Detail-CLS'!$D$8:$D$238,"GEN-3413",'[1]Revenue and Expense Detail-CLS'!$H$8:$H$238)</f>
        <v>0</v>
      </c>
      <c r="G24" s="11">
        <f>SUMIF('[1]Revenue and Expense Detail-CLS'!$D$8:$D$238,"GEN-3413",'[1]Revenue and Expense Detail-CLS'!$K$8:$K$238)</f>
        <v>0</v>
      </c>
      <c r="H24" s="24" t="str">
        <f>IF(G24=0,"%",F24/G24)</f>
        <v>%</v>
      </c>
      <c r="I24" s="11"/>
      <c r="J24" s="11">
        <f>SUMIF('[1]Revenue and Expense Detail-CLS'!$D$8:$D$238,"SPR-3413",'[1]Revenue and Expense Detail-CLS'!$E$8:$E$238)</f>
        <v>0</v>
      </c>
      <c r="K24" s="11">
        <f>SUMIF('[1]Revenue and Expense Detail-CLS'!$D$8:$D$238,"SPR-3413",'[1]Revenue and Expense Detail-CLS'!$H$8:$H$238)</f>
        <v>0</v>
      </c>
      <c r="L24" s="11">
        <f>SUMIF('[1]Revenue and Expense Detail-CLS'!$D$8:$D$238,"SPR-3413",'[1]Revenue and Expense Detail-CLS'!$K$8:$K$238)</f>
        <v>0</v>
      </c>
      <c r="M24" s="24" t="str">
        <f t="shared" si="3"/>
        <v>%</v>
      </c>
      <c r="N24" s="11"/>
      <c r="O24" s="11">
        <f>SUMIF('[1]Revenue and Expense Detail-CLS'!$D$8:$D$238,"DES-3413",'[1]Revenue and Expense Detail-CLS'!$E$8:$E$238)</f>
        <v>0</v>
      </c>
      <c r="P24" s="11">
        <f>SUMIF('[1]Revenue and Expense Detail-CLS'!$D$8:$D$238,"DES-3413",'[1]Revenue and Expense Detail-CLS'!$H$8:$H$238)</f>
        <v>0</v>
      </c>
      <c r="Q24" s="11">
        <f>SUMIF('[1]Revenue and Expense Detail-CLS'!$D$8:$D$238,"DES-3413",'[1]Revenue and Expense Detail-CLS'!$K$8:$K$238)</f>
        <v>0</v>
      </c>
      <c r="R24" s="24" t="str">
        <f t="shared" si="4"/>
        <v>%</v>
      </c>
      <c r="S24" s="11"/>
      <c r="T24" s="11">
        <f>SUMIF('[1]Revenue and Expense Detail-CLS'!$D$8:$D$238,"CAO-3413",'[1]Revenue and Expense Detail-CLS'!$E$8:$E$238)</f>
        <v>0</v>
      </c>
      <c r="U24" s="11">
        <f>SUMIF('[1]Revenue and Expense Detail-CLS'!$D$8:$D$238,"CAO-3413",'[1]Revenue and Expense Detail-CLS'!$H$8:$H$238)</f>
        <v>0</v>
      </c>
      <c r="V24" s="11">
        <f>SUMIF('[1]Revenue and Expense Detail-CLS'!$D$8:$D$238,"CAO-3413",'[1]Revenue and Expense Detail-CLS'!$K$8:$K$238)</f>
        <v>0</v>
      </c>
      <c r="W24" s="24" t="str">
        <f t="shared" si="6"/>
        <v>%</v>
      </c>
      <c r="X24" s="11"/>
      <c r="Y24" s="11">
        <f t="shared" si="2"/>
        <v>0</v>
      </c>
      <c r="Z24" s="37">
        <f>F24+K24+P24+U24</f>
        <v>0</v>
      </c>
      <c r="AA24" s="37">
        <f t="shared" si="0"/>
        <v>0</v>
      </c>
      <c r="AB24" s="24" t="str">
        <f t="shared" si="1"/>
        <v>%</v>
      </c>
    </row>
    <row r="25" spans="1:28" x14ac:dyDescent="0.2">
      <c r="B25" s="33" t="s">
        <v>64</v>
      </c>
      <c r="C25" s="34" t="s">
        <v>65</v>
      </c>
      <c r="E25" s="11">
        <f>SUMIF('[1]Revenue and Expense Detail-CLS'!$D$8:$D$238,"GEN-34XX",'[1]Revenue and Expense Detail-CLS'!$E$8:$E$238)</f>
        <v>2670.11</v>
      </c>
      <c r="F25" s="11">
        <f>SUMIF('[1]Revenue and Expense Detail-CLS'!$D$8:$D$238,"GEN-34XX",'[1]Revenue and Expense Detail-CLS'!$H$8:$H$238)</f>
        <v>98530.81</v>
      </c>
      <c r="G25" s="11">
        <f>SUMIF('[1]Revenue and Expense Detail-CLS'!$D$8:$D$238,"GEN-34XX",'[1]Revenue and Expense Detail-CLS'!$K$8:$K$238)</f>
        <v>297631.25</v>
      </c>
      <c r="H25" s="24">
        <f>IF(G25=0,"%",F25/G25)</f>
        <v>0.33104994855210934</v>
      </c>
      <c r="I25" s="11"/>
      <c r="J25" s="11">
        <f>SUMIF('[1]Revenue and Expense Detail-CLS'!$D$8:$D$238,"SPR-34XX",'[1]Revenue and Expense Detail-CLS'!$E$8:$E$238)</f>
        <v>0</v>
      </c>
      <c r="K25" s="11">
        <f>SUMIF('[1]Revenue and Expense Detail-CLS'!$D$8:$D$238,"SPR-34XX",'[1]Revenue and Expense Detail-CLS'!$H$8:$H$238)</f>
        <v>0</v>
      </c>
      <c r="L25" s="11">
        <f>SUMIF('[1]Revenue and Expense Detail-CLS'!$D$8:$D$238,"SPR-34XX",'[1]Revenue and Expense Detail-CLS'!$K$8:$K$238)</f>
        <v>0</v>
      </c>
      <c r="M25" s="24" t="str">
        <f t="shared" si="3"/>
        <v>%</v>
      </c>
      <c r="N25" s="11"/>
      <c r="O25" s="11">
        <f>SUMIF('[1]Revenue and Expense Detail-CLS'!$D$8:$D$238,"DES-34XX",'[1]Revenue and Expense Detail-CLS'!$E$8:$E$238)</f>
        <v>0</v>
      </c>
      <c r="P25" s="11">
        <f>SUMIF('[1]Revenue and Expense Detail-CLS'!$D$8:$D$238,"DES-34XX",'[1]Revenue and Expense Detail-CLS'!$H$8:$H$238)</f>
        <v>0</v>
      </c>
      <c r="Q25" s="11">
        <f>SUMIF('[1]Revenue and Expense Detail-CLS'!$D$8:$D$238,"DES-34XX",'[1]Revenue and Expense Detail-CLS'!$K$8:$K$238)</f>
        <v>0</v>
      </c>
      <c r="R25" s="24" t="str">
        <f t="shared" si="4"/>
        <v>%</v>
      </c>
      <c r="S25" s="11"/>
      <c r="T25" s="11">
        <f>SUMIF('[1]Revenue and Expense Detail-CLS'!$D$8:$D$238,"CAO-34XX",'[1]Revenue and Expense Detail-CLS'!$E$8:$E$238)</f>
        <v>0</v>
      </c>
      <c r="U25" s="11">
        <f>SUMIF('[1]Revenue and Expense Detail-CLS'!$D$8:$D$238,"CAO-34XX",'[1]Revenue and Expense Detail-CLS'!$H$8:$H$238)</f>
        <v>0</v>
      </c>
      <c r="V25" s="11">
        <f>SUMIF('[1]Revenue and Expense Detail-CLS'!$D$8:$D$238,"CAO-34XX",'[1]Revenue and Expense Detail-CLS'!$K$8:$K$238)</f>
        <v>0</v>
      </c>
      <c r="W25" s="24" t="str">
        <f t="shared" si="6"/>
        <v>%</v>
      </c>
      <c r="X25" s="11"/>
      <c r="Y25" s="11">
        <f t="shared" si="2"/>
        <v>2670.11</v>
      </c>
      <c r="Z25" s="37">
        <f>F25+K25+P25+U25</f>
        <v>98530.81</v>
      </c>
      <c r="AA25" s="37">
        <f>G25+L25+Q25+V25</f>
        <v>297631.25</v>
      </c>
      <c r="AB25" s="24">
        <f t="shared" si="1"/>
        <v>0.33104994855210934</v>
      </c>
    </row>
    <row r="26" spans="1:28" ht="27.75" customHeight="1" x14ac:dyDescent="0.25">
      <c r="A26" s="7" t="s">
        <v>66</v>
      </c>
      <c r="E26" s="16">
        <f>SUM(E14:E25)</f>
        <v>82299.03</v>
      </c>
      <c r="F26" s="16">
        <f>SUM(F14:F25)</f>
        <v>497902.14999999997</v>
      </c>
      <c r="G26" s="16">
        <f>SUM(G14:G25)</f>
        <v>1273107.03</v>
      </c>
      <c r="H26" s="38">
        <f>IF(G26=0,"%",F26/G26)</f>
        <v>0.39109213779143137</v>
      </c>
      <c r="I26" s="11"/>
      <c r="J26" s="16">
        <f>SUM(J14:J25)</f>
        <v>2250</v>
      </c>
      <c r="K26" s="16">
        <f>SUM(K14:K25)</f>
        <v>10122</v>
      </c>
      <c r="L26" s="16">
        <f>SUM(L14:L25)</f>
        <v>25000</v>
      </c>
      <c r="M26" s="38">
        <f t="shared" si="3"/>
        <v>0.40488000000000002</v>
      </c>
      <c r="N26" s="11"/>
      <c r="O26" s="16">
        <f>SUM(O14:O25)</f>
        <v>0</v>
      </c>
      <c r="P26" s="16">
        <f>SUM(P14:P25)</f>
        <v>0</v>
      </c>
      <c r="Q26" s="16">
        <f>SUM(Q14:Q25)</f>
        <v>0</v>
      </c>
      <c r="R26" s="38" t="str">
        <f>IF(Q26=0,"%",P26/Q26)</f>
        <v>%</v>
      </c>
      <c r="S26" s="11"/>
      <c r="T26" s="16">
        <f>SUM(T14:T25)</f>
        <v>2248</v>
      </c>
      <c r="U26" s="16">
        <f>SUM(U14:U25)</f>
        <v>11274</v>
      </c>
      <c r="V26" s="16">
        <f>SUM(V14:V25)</f>
        <v>24960</v>
      </c>
      <c r="W26" s="38">
        <f>IF(V26=0,"%",U26/V26)</f>
        <v>0.45168269230769231</v>
      </c>
      <c r="X26" s="11"/>
      <c r="Y26" s="16">
        <f>SUM(Y14:Y25)</f>
        <v>86797.03</v>
      </c>
      <c r="Z26" s="16">
        <f>SUM(Z14:Z25)</f>
        <v>519298.14999999997</v>
      </c>
      <c r="AA26" s="16">
        <f>SUM(AA14:AA25)</f>
        <v>1323067.03</v>
      </c>
      <c r="AB26" s="38">
        <f>IF(AA26=0,"%",Z26/AA26)</f>
        <v>0.39249572260900489</v>
      </c>
    </row>
    <row r="27" spans="1:28" x14ac:dyDescent="0.2">
      <c r="E27" s="11"/>
      <c r="F27" s="11"/>
      <c r="G27" s="11"/>
      <c r="H27" s="24"/>
      <c r="I27" s="11"/>
      <c r="J27" s="11"/>
      <c r="K27" s="11"/>
      <c r="L27" s="11"/>
      <c r="M27" s="24"/>
      <c r="N27" s="11"/>
      <c r="O27" s="11"/>
      <c r="P27" s="11"/>
      <c r="Q27" s="11"/>
      <c r="R27" s="24"/>
      <c r="S27" s="11"/>
      <c r="T27" s="11"/>
      <c r="U27" s="11"/>
      <c r="V27" s="11"/>
      <c r="W27" s="24"/>
      <c r="X27" s="11"/>
      <c r="Y27" s="11"/>
      <c r="Z27" s="11"/>
      <c r="AA27" s="11"/>
      <c r="AB27" s="24"/>
    </row>
    <row r="28" spans="1:28" ht="15.75" x14ac:dyDescent="0.25">
      <c r="A28" s="7" t="s">
        <v>67</v>
      </c>
      <c r="E28" s="11"/>
      <c r="F28" s="11"/>
      <c r="G28" s="11"/>
      <c r="H28" s="24"/>
      <c r="I28" s="11"/>
      <c r="J28" s="11"/>
      <c r="K28" s="11"/>
      <c r="L28" s="11"/>
      <c r="M28" s="24"/>
      <c r="N28" s="11"/>
      <c r="O28" s="11"/>
      <c r="P28" s="11"/>
      <c r="Q28" s="11"/>
      <c r="R28" s="24"/>
      <c r="S28" s="11"/>
      <c r="T28" s="11"/>
      <c r="U28" s="11"/>
      <c r="V28" s="11"/>
      <c r="W28" s="24"/>
      <c r="X28" s="11"/>
      <c r="Y28" s="11"/>
      <c r="Z28" s="11"/>
      <c r="AA28" s="11"/>
      <c r="AB28" s="24"/>
    </row>
    <row r="29" spans="1:28" x14ac:dyDescent="0.2">
      <c r="A29" s="2" t="s">
        <v>68</v>
      </c>
      <c r="E29" s="11"/>
      <c r="F29" s="11"/>
      <c r="G29" s="11"/>
      <c r="H29" s="24"/>
      <c r="I29" s="11"/>
      <c r="J29" s="11"/>
      <c r="K29" s="11"/>
      <c r="L29" s="11"/>
      <c r="M29" s="24"/>
      <c r="N29" s="11"/>
      <c r="O29" s="11"/>
      <c r="P29" s="11"/>
      <c r="Q29" s="11"/>
      <c r="R29" s="24"/>
      <c r="S29" s="11"/>
      <c r="T29" s="11"/>
      <c r="U29" s="11"/>
      <c r="V29" s="11"/>
      <c r="W29" s="24"/>
      <c r="X29" s="11"/>
      <c r="Y29" s="11"/>
      <c r="Z29" s="11"/>
      <c r="AA29" s="11"/>
      <c r="AB29" s="24"/>
    </row>
    <row r="30" spans="1:28" x14ac:dyDescent="0.2">
      <c r="B30" s="39" t="s">
        <v>69</v>
      </c>
      <c r="C30" s="34">
        <v>5000</v>
      </c>
      <c r="D30" s="39"/>
      <c r="E30" s="11">
        <f>SUMIF('[1]Revenue and Expense Detail-CLS'!$D$8:$D$238,"GEN-5000",'[1]Revenue and Expense Detail-CLS'!$E$8:$E$238)</f>
        <v>77181.340000000011</v>
      </c>
      <c r="F30" s="11">
        <f>SUMIF('[1]Revenue and Expense Detail-CLS'!$D$8:$D$238,"GEN-5000",'[1]Revenue and Expense Detail-CLS'!$H$8:$H$238)</f>
        <v>355562.42</v>
      </c>
      <c r="G30" s="11">
        <f>SUMIF('[1]Revenue and Expense Detail-CLS'!$D$8:$D$238,"GEN-5000",'[1]Revenue and Expense Detail-CLS'!$K$8:$K$238)</f>
        <v>961942.6781946742</v>
      </c>
      <c r="H30" s="24">
        <f>IF(G30=0,"%",F30/G30)</f>
        <v>0.36962952997085202</v>
      </c>
      <c r="I30" s="11"/>
      <c r="J30" s="11">
        <f>SUMIF('[1]Revenue and Expense Detail-CLS'!$D$8:$D$238,"SPR-5000",'[1]Revenue and Expense Detail-CLS'!$E$8:$E$238)</f>
        <v>2250</v>
      </c>
      <c r="K30" s="11">
        <f>SUMIF('[1]Revenue and Expense Detail-CLS'!$D$8:$D$238,"SPR-5000",'[1]Revenue and Expense Detail-CLS'!$H$8:$H$238)</f>
        <v>10122</v>
      </c>
      <c r="L30" s="11">
        <f>SUMIF('[1]Revenue and Expense Detail-CLS'!$D$8:$D$238,"SPR-5000",'[1]Revenue and Expense Detail-CLS'!$K$8:$K$238)</f>
        <v>0</v>
      </c>
      <c r="M30" s="24" t="str">
        <f>IF(L30=0,"%",K30/L30)</f>
        <v>%</v>
      </c>
      <c r="N30" s="11"/>
      <c r="O30" s="11">
        <f>SUMIF('[1]Revenue and Expense Detail-CLS'!$D$8:$D$238,"DES-5000",'[1]Revenue and Expense Detail-CLS'!$E$8:$E$238)</f>
        <v>0</v>
      </c>
      <c r="P30" s="11">
        <f>SUMIF('[1]Revenue and Expense Detail-CLS'!$D$8:$D$238,"DES-5000",'[1]Revenue and Expense Detail-CLS'!$H$8:$H$238)</f>
        <v>0</v>
      </c>
      <c r="Q30" s="11">
        <f>SUMIF('[1]Revenue and Expense Detail-CLS'!$D$8:$D$238,"DES-5000",'[1]Revenue and Expense Detail-CLS'!$K$8:$K$238)</f>
        <v>0</v>
      </c>
      <c r="R30" s="24" t="str">
        <f>IF(Q30=0,"%",P30/Q30)</f>
        <v>%</v>
      </c>
      <c r="S30" s="11"/>
      <c r="T30" s="11">
        <f>SUMIF('[1]Revenue and Expense Detail-CLS'!$D$8:$D$238,"CAO-5000",'[1]Revenue and Expense Detail-CLS'!$E$8:$E$238)</f>
        <v>0</v>
      </c>
      <c r="U30" s="11">
        <f>SUMIF('[1]Revenue and Expense Detail-CLS'!$D$8:$D$238,"CAO-5000",'[1]Revenue and Expense Detail-CLS'!$H$8:$H$238)</f>
        <v>0</v>
      </c>
      <c r="V30" s="11">
        <f>SUMIF('[1]Revenue and Expense Detail-CLS'!$D$8:$D$238,"CAO-5000",'[1]Revenue and Expense Detail-CLS'!$K$8:$K$238)</f>
        <v>0</v>
      </c>
      <c r="W30" s="24" t="str">
        <f>IF(V30=0,"%",U30/V30)</f>
        <v>%</v>
      </c>
      <c r="X30" s="11"/>
      <c r="Y30" s="37">
        <f t="shared" ref="Y30:Z43" si="7">E30+J30+O30+T30</f>
        <v>79431.340000000011</v>
      </c>
      <c r="Z30" s="37">
        <f>F30+K30+P30+U30</f>
        <v>365684.42</v>
      </c>
      <c r="AA30" s="37">
        <f t="shared" ref="AA30:AA43" si="8">G30+L30+Q30+V30</f>
        <v>961942.6781946742</v>
      </c>
      <c r="AB30" s="24">
        <f>IF(AA30=0,"%",Z30/AA30)</f>
        <v>0.38015198648457743</v>
      </c>
    </row>
    <row r="31" spans="1:28" x14ac:dyDescent="0.2">
      <c r="B31" s="39" t="s">
        <v>70</v>
      </c>
      <c r="C31" s="34">
        <v>6000</v>
      </c>
      <c r="D31" s="39"/>
      <c r="E31" s="11">
        <f>SUMIF('[1]Revenue and Expense Detail-CLS'!$D$8:$D$238,"GEN-6000",'[1]Revenue and Expense Detail-CLS'!$E$8:$E$238)</f>
        <v>7686.5599999999986</v>
      </c>
      <c r="F31" s="11">
        <f>SUMIF('[1]Revenue and Expense Detail-CLS'!$D$8:$D$238,"GEN-6000",'[1]Revenue and Expense Detail-CLS'!$H$8:$H$238)</f>
        <v>29222.930000000004</v>
      </c>
      <c r="G31" s="11">
        <f>SUMIF('[1]Revenue and Expense Detail-CLS'!$D$8:$D$238,"GEN-6000",'[1]Revenue and Expense Detail-CLS'!$K$8:$K$238)</f>
        <v>56812.903213123602</v>
      </c>
      <c r="H31" s="24">
        <f t="shared" ref="H31:H43" si="9">IF(G31=0,"%",F31/G31)</f>
        <v>0.51437135487294727</v>
      </c>
      <c r="I31" s="11"/>
      <c r="J31" s="11">
        <f>SUMIF('[1]Revenue and Expense Detail-CLS'!$D$8:$D$238,"SPR-6000",'[1]Revenue and Expense Detail-CLS'!$E$8:$E$238)</f>
        <v>0</v>
      </c>
      <c r="K31" s="11">
        <f>SUMIF('[1]Revenue and Expense Detail-CLS'!$D$8:$D$238,"SPR-6000",'[1]Revenue and Expense Detail-CLS'!$H$8:$H$238)</f>
        <v>0</v>
      </c>
      <c r="L31" s="11">
        <f>SUMIF('[1]Revenue and Expense Detail-CLS'!$D$8:$D$238,"SPR-6000",'[1]Revenue and Expense Detail-CLS'!$K$8:$K$238)</f>
        <v>0</v>
      </c>
      <c r="M31" s="24" t="str">
        <f t="shared" ref="M31:M43" si="10">IF(L31=0,"%",K31/L31)</f>
        <v>%</v>
      </c>
      <c r="N31" s="11"/>
      <c r="O31" s="11">
        <f>SUMIF('[1]Revenue and Expense Detail-CLS'!$D$8:$D$238,"DES-6000",'[1]Revenue and Expense Detail-CLS'!$E$8:$E$238)</f>
        <v>0</v>
      </c>
      <c r="P31" s="11">
        <f>SUMIF('[1]Revenue and Expense Detail-CLS'!$D$8:$D$238,"DES-6000",'[1]Revenue and Expense Detail-CLS'!$H$8:$H$238)</f>
        <v>0</v>
      </c>
      <c r="Q31" s="11">
        <f>SUMIF('[1]Revenue and Expense Detail-CLS'!$D$8:$D$238,"DES-6000",'[1]Revenue and Expense Detail-CLS'!$K$8:$K$238)</f>
        <v>0</v>
      </c>
      <c r="R31" s="24" t="str">
        <f t="shared" ref="R31:R43" si="11">IF(Q31=0,"%",P31/Q31)</f>
        <v>%</v>
      </c>
      <c r="S31" s="11"/>
      <c r="T31" s="11">
        <f>SUMIF('[1]Revenue and Expense Detail-CLS'!$D$8:$D$238,"CAO-6000",'[1]Revenue and Expense Detail-CLS'!$E$8:$E$238)</f>
        <v>0</v>
      </c>
      <c r="U31" s="11">
        <f>SUMIF('[1]Revenue and Expense Detail-CLS'!$D$8:$D$238,"CAO-6000",'[1]Revenue and Expense Detail-CLS'!$H$8:$H$238)</f>
        <v>0</v>
      </c>
      <c r="V31" s="11">
        <f>SUMIF('[1]Revenue and Expense Detail-CLS'!$D$8:$D$238,"CAO-6000",'[1]Revenue and Expense Detail-CLS'!$K$8:$K$238)</f>
        <v>0</v>
      </c>
      <c r="W31" s="24" t="str">
        <f t="shared" ref="W31:W43" si="12">IF(V31=0,"%",U31/V31)</f>
        <v>%</v>
      </c>
      <c r="X31" s="11"/>
      <c r="Y31" s="37">
        <f t="shared" si="7"/>
        <v>7686.5599999999986</v>
      </c>
      <c r="Z31" s="37">
        <f t="shared" si="7"/>
        <v>29222.930000000004</v>
      </c>
      <c r="AA31" s="37">
        <f t="shared" si="8"/>
        <v>56812.903213123602</v>
      </c>
      <c r="AB31" s="24">
        <f t="shared" ref="AB31:AB43" si="13">IF(AA31=0,"%",Z31/AA31)</f>
        <v>0.51437135487294727</v>
      </c>
    </row>
    <row r="32" spans="1:28" x14ac:dyDescent="0.2">
      <c r="B32" s="39" t="s">
        <v>71</v>
      </c>
      <c r="C32" s="34">
        <v>7100</v>
      </c>
      <c r="D32" s="39"/>
      <c r="E32" s="11">
        <f>SUMIF('[1]Revenue and Expense Detail-CLS'!$D$8:$D$238,"GEN-7100",'[1]Revenue and Expense Detail-CLS'!$E$8:$E$238)</f>
        <v>1967.63</v>
      </c>
      <c r="F32" s="11">
        <f>SUMIF('[1]Revenue and Expense Detail-CLS'!$D$8:$D$238,"GEN-7100",'[1]Revenue and Expense Detail-CLS'!$H$8:$H$238)</f>
        <v>29093.739999999998</v>
      </c>
      <c r="G32" s="11">
        <f>SUMIF('[1]Revenue and Expense Detail-CLS'!$D$8:$D$238,"GEN-7100",'[1]Revenue and Expense Detail-CLS'!$K$8:$K$238)</f>
        <v>45347.693999999996</v>
      </c>
      <c r="H32" s="24">
        <f t="shared" si="9"/>
        <v>0.64157044016394749</v>
      </c>
      <c r="I32" s="11"/>
      <c r="J32" s="11">
        <f>SUMIF('[1]Revenue and Expense Detail-CLS'!$D$8:$D$238,"SPR-7100",'[1]Revenue and Expense Detail-CLS'!$E$8:$E$238)</f>
        <v>0</v>
      </c>
      <c r="K32" s="11">
        <f>SUMIF('[1]Revenue and Expense Detail-CLS'!$D$8:$D$238,"SPR-7100",'[1]Revenue and Expense Detail-CLS'!$H$8:$H$238)</f>
        <v>0</v>
      </c>
      <c r="L32" s="11">
        <f>SUMIF('[1]Revenue and Expense Detail-CLS'!$D$8:$D$238,"SPR-7100",'[1]Revenue and Expense Detail-CLS'!$K$8:$K$238)</f>
        <v>0</v>
      </c>
      <c r="M32" s="24" t="str">
        <f t="shared" si="10"/>
        <v>%</v>
      </c>
      <c r="N32" s="11"/>
      <c r="O32" s="11">
        <f>SUMIF('[1]Revenue and Expense Detail-CLS'!$D$8:$D$238,"DES-7100",'[1]Revenue and Expense Detail-CLS'!$E$8:$E$238)</f>
        <v>0</v>
      </c>
      <c r="P32" s="11">
        <f>SUMIF('[1]Revenue and Expense Detail-CLS'!$D$8:$D$238,"DES-7100",'[1]Revenue and Expense Detail-CLS'!$H$8:$H$238)</f>
        <v>0</v>
      </c>
      <c r="Q32" s="11">
        <f>SUMIF('[1]Revenue and Expense Detail-CLS'!$D$8:$D$238,"DES-7100",'[1]Revenue and Expense Detail-CLS'!$K$8:$K$238)</f>
        <v>0</v>
      </c>
      <c r="R32" s="24" t="str">
        <f t="shared" si="11"/>
        <v>%</v>
      </c>
      <c r="S32" s="11"/>
      <c r="T32" s="11">
        <f>SUMIF('[1]Revenue and Expense Detail-CLS'!$D$8:$D$238,"CAO-7100",'[1]Revenue and Expense Detail-CLS'!$E$8:$E$238)</f>
        <v>0</v>
      </c>
      <c r="U32" s="11">
        <f>SUMIF('[1]Revenue and Expense Detail-CLS'!$D$8:$D$238,"CAO-7100",'[1]Revenue and Expense Detail-CLS'!$H$8:$H$238)</f>
        <v>0</v>
      </c>
      <c r="V32" s="11">
        <f>SUMIF('[1]Revenue and Expense Detail-CLS'!$D$8:$D$238,"CAO-7100",'[1]Revenue and Expense Detail-CLS'!$K$8:$K$238)</f>
        <v>0</v>
      </c>
      <c r="W32" s="24" t="str">
        <f t="shared" si="12"/>
        <v>%</v>
      </c>
      <c r="X32" s="11"/>
      <c r="Y32" s="37">
        <f t="shared" si="7"/>
        <v>1967.63</v>
      </c>
      <c r="Z32" s="37">
        <f t="shared" si="7"/>
        <v>29093.739999999998</v>
      </c>
      <c r="AA32" s="37">
        <f t="shared" si="8"/>
        <v>45347.693999999996</v>
      </c>
      <c r="AB32" s="24">
        <f t="shared" si="13"/>
        <v>0.64157044016394749</v>
      </c>
    </row>
    <row r="33" spans="1:28" x14ac:dyDescent="0.2">
      <c r="B33" s="39" t="s">
        <v>72</v>
      </c>
      <c r="C33" s="34">
        <v>7300</v>
      </c>
      <c r="D33" s="39"/>
      <c r="E33" s="11">
        <f>SUMIF('[1]Revenue and Expense Detail-CLS'!$D$8:$D$238,"GEN-7300",'[1]Revenue and Expense Detail-CLS'!$E$8:$E$238)</f>
        <v>4217.28</v>
      </c>
      <c r="F33" s="11">
        <f>SUMIF('[1]Revenue and Expense Detail-CLS'!$D$8:$D$238,"GEN-7300",'[1]Revenue and Expense Detail-CLS'!$H$8:$H$238)</f>
        <v>20965.369999999995</v>
      </c>
      <c r="G33" s="11">
        <f>SUMIF('[1]Revenue and Expense Detail-CLS'!$D$8:$D$238,"GEN-7300",'[1]Revenue and Expense Detail-CLS'!$K$8:$K$238)</f>
        <v>37084.798199999997</v>
      </c>
      <c r="H33" s="24">
        <f t="shared" si="9"/>
        <v>0.5653359602210265</v>
      </c>
      <c r="I33" s="11"/>
      <c r="J33" s="11">
        <f>SUMIF('[1]Revenue and Expense Detail-CLS'!$D$8:$D$238,"SPR-7300",'[1]Revenue and Expense Detail-CLS'!$E$8:$E$238)</f>
        <v>0</v>
      </c>
      <c r="K33" s="11">
        <f>SUMIF('[1]Revenue and Expense Detail-CLS'!$D$8:$D$238,"SPR-7300",'[1]Revenue and Expense Detail-CLS'!$H$8:$H$238)</f>
        <v>0</v>
      </c>
      <c r="L33" s="11">
        <f>SUMIF('[1]Revenue and Expense Detail-CLS'!$D$8:$D$238,"SPR-7300",'[1]Revenue and Expense Detail-CLS'!$K$8:$K$238)</f>
        <v>0</v>
      </c>
      <c r="M33" s="24" t="str">
        <f t="shared" si="10"/>
        <v>%</v>
      </c>
      <c r="N33" s="11"/>
      <c r="O33" s="11">
        <f>SUMIF('[1]Revenue and Expense Detail-CLS'!$D$8:$D$238,"DES-7300",'[1]Revenue and Expense Detail-CLS'!$E$8:$E$238)</f>
        <v>0</v>
      </c>
      <c r="P33" s="11">
        <f>SUMIF('[1]Revenue and Expense Detail-CLS'!$D$8:$D$238,"DES-7300",'[1]Revenue and Expense Detail-CLS'!$H$8:$H$238)</f>
        <v>0</v>
      </c>
      <c r="Q33" s="11">
        <f>SUMIF('[1]Revenue and Expense Detail-CLS'!$D$8:$D$238,"DES-7300",'[1]Revenue and Expense Detail-CLS'!$K$8:$K$238)</f>
        <v>0</v>
      </c>
      <c r="R33" s="24" t="str">
        <f t="shared" si="11"/>
        <v>%</v>
      </c>
      <c r="S33" s="11"/>
      <c r="T33" s="11">
        <f>SUMIF('[1]Revenue and Expense Detail-CLS'!$D$8:$D$238,"CAO-7300",'[1]Revenue and Expense Detail-CLS'!$E$8:$E$238)</f>
        <v>0</v>
      </c>
      <c r="U33" s="11">
        <f>SUMIF('[1]Revenue and Expense Detail-CLS'!$D$8:$D$238,"CAO-7300",'[1]Revenue and Expense Detail-CLS'!$H$8:$H$238)</f>
        <v>0</v>
      </c>
      <c r="V33" s="11">
        <f>SUMIF('[1]Revenue and Expense Detail-CLS'!$D$8:$D$238,"CAO-7300",'[1]Revenue and Expense Detail-CLS'!$K$8:$K$238)</f>
        <v>0</v>
      </c>
      <c r="W33" s="24" t="str">
        <f t="shared" si="12"/>
        <v>%</v>
      </c>
      <c r="X33" s="11"/>
      <c r="Y33" s="37">
        <f t="shared" si="7"/>
        <v>4217.28</v>
      </c>
      <c r="Z33" s="37">
        <f t="shared" si="7"/>
        <v>20965.369999999995</v>
      </c>
      <c r="AA33" s="37">
        <f t="shared" si="8"/>
        <v>37084.798199999997</v>
      </c>
      <c r="AB33" s="24">
        <f t="shared" si="13"/>
        <v>0.5653359602210265</v>
      </c>
    </row>
    <row r="34" spans="1:28" x14ac:dyDescent="0.2">
      <c r="B34" s="39" t="s">
        <v>73</v>
      </c>
      <c r="C34" s="34">
        <v>7400</v>
      </c>
      <c r="D34" s="39"/>
      <c r="E34" s="11">
        <f>SUMIF('[1]Revenue and Expense Detail-CLS'!$D$8:$D$238,"GEN-7400",'[1]Revenue and Expense Detail-CLS'!$E$8:$E$238)</f>
        <v>0</v>
      </c>
      <c r="F34" s="11">
        <f>SUMIF('[1]Revenue and Expense Detail-CLS'!$D$8:$D$238,"GEN-7400",'[1]Revenue and Expense Detail-CLS'!$H$8:$H$238)</f>
        <v>8410</v>
      </c>
      <c r="G34" s="11">
        <f>SUMIF('[1]Revenue and Expense Detail-CLS'!$D$8:$D$238,"GEN-7400",'[1]Revenue and Expense Detail-CLS'!$K$8:$K$238)</f>
        <v>31702</v>
      </c>
      <c r="H34" s="24">
        <f t="shared" si="9"/>
        <v>0.26528294744811054</v>
      </c>
      <c r="I34" s="11"/>
      <c r="J34" s="11">
        <f>SUMIF('[1]Revenue and Expense Detail-CLS'!$D$8:$D$238,"SPR-7400",'[1]Revenue and Expense Detail-CLS'!$E$8:$E$238)</f>
        <v>0</v>
      </c>
      <c r="K34" s="11">
        <f>SUMIF('[1]Revenue and Expense Detail-CLS'!$D$8:$D$238,"SPR-7400",'[1]Revenue and Expense Detail-CLS'!$H$8:$H$238)</f>
        <v>0</v>
      </c>
      <c r="L34" s="11">
        <f>SUMIF('[1]Revenue and Expense Detail-CLS'!$D$8:$D$238,"SPR-7400",'[1]Revenue and Expense Detail-CLS'!$K$8:$K$238)</f>
        <v>0</v>
      </c>
      <c r="M34" s="24" t="str">
        <f t="shared" si="10"/>
        <v>%</v>
      </c>
      <c r="N34" s="11"/>
      <c r="O34" s="11">
        <f>SUMIF('[1]Revenue and Expense Detail-CLS'!$D$8:$D$238,"DES-7400",'[1]Revenue and Expense Detail-CLS'!$E$8:$E$238)</f>
        <v>0</v>
      </c>
      <c r="P34" s="11">
        <f>SUMIF('[1]Revenue and Expense Detail-CLS'!$D$8:$D$238,"DES-7400",'[1]Revenue and Expense Detail-CLS'!$H$8:$H$238)</f>
        <v>0</v>
      </c>
      <c r="Q34" s="11">
        <f>SUMIF('[1]Revenue and Expense Detail-CLS'!$D$8:$D$238,"DES-7400",'[1]Revenue and Expense Detail-CLS'!$K$8:$K$238)</f>
        <v>0</v>
      </c>
      <c r="R34" s="24" t="str">
        <f t="shared" si="11"/>
        <v>%</v>
      </c>
      <c r="S34" s="11"/>
      <c r="T34" s="11">
        <f>SUMIF('[1]Revenue and Expense Detail-CLS'!$D$8:$D$238,"CAO-7400",'[1]Revenue and Expense Detail-CLS'!$E$8:$E$238)</f>
        <v>0</v>
      </c>
      <c r="U34" s="11">
        <f>SUMIF('[1]Revenue and Expense Detail-CLS'!$D$8:$D$238,"CAO-7400",'[1]Revenue and Expense Detail-CLS'!$H$8:$H$238)</f>
        <v>0</v>
      </c>
      <c r="V34" s="11">
        <f>SUMIF('[1]Revenue and Expense Detail-CLS'!$D$8:$D$238,"CAO-7400",'[1]Revenue and Expense Detail-CLS'!$K$8:$K$238)</f>
        <v>0</v>
      </c>
      <c r="W34" s="24" t="str">
        <f t="shared" si="12"/>
        <v>%</v>
      </c>
      <c r="X34" s="11"/>
      <c r="Y34" s="37">
        <f t="shared" si="7"/>
        <v>0</v>
      </c>
      <c r="Z34" s="37">
        <f t="shared" si="7"/>
        <v>8410</v>
      </c>
      <c r="AA34" s="37">
        <f t="shared" si="8"/>
        <v>31702</v>
      </c>
      <c r="AB34" s="24">
        <f t="shared" si="13"/>
        <v>0.26528294744811054</v>
      </c>
    </row>
    <row r="35" spans="1:28" x14ac:dyDescent="0.2">
      <c r="B35" s="39" t="s">
        <v>74</v>
      </c>
      <c r="C35" s="34">
        <v>7500</v>
      </c>
      <c r="D35" s="39"/>
      <c r="E35" s="11">
        <f>SUMIF('[1]Revenue and Expense Detail-CLS'!$D$8:$D$238,"GEN-7500",'[1]Revenue and Expense Detail-CLS'!$E$8:$E$238)</f>
        <v>2329.5</v>
      </c>
      <c r="F35" s="11">
        <f>SUMIF('[1]Revenue and Expense Detail-CLS'!$D$8:$D$238,"GEN-7500",'[1]Revenue and Expense Detail-CLS'!$H$8:$H$238)</f>
        <v>13054.470000000001</v>
      </c>
      <c r="G35" s="11">
        <f>SUMIF('[1]Revenue and Expense Detail-CLS'!$D$8:$D$238,"GEN-7500",'[1]Revenue and Expense Detail-CLS'!$K$8:$K$238)</f>
        <v>33346.638377268602</v>
      </c>
      <c r="H35" s="24">
        <f t="shared" si="9"/>
        <v>0.39147784110373296</v>
      </c>
      <c r="I35" s="11"/>
      <c r="J35" s="11">
        <f>SUMIF('[1]Revenue and Expense Detail-CLS'!$D$8:$D$238,"SPR-7500",'[1]Revenue and Expense Detail-CLS'!$E$8:$E$238)</f>
        <v>0</v>
      </c>
      <c r="K35" s="11">
        <f>SUMIF('[1]Revenue and Expense Detail-CLS'!$D$8:$D$238,"SPR-7500",'[1]Revenue and Expense Detail-CLS'!$H$8:$H$238)</f>
        <v>0</v>
      </c>
      <c r="L35" s="11">
        <f>SUMIF('[1]Revenue and Expense Detail-CLS'!$D$8:$D$238,"SPR-7500",'[1]Revenue and Expense Detail-CLS'!$K$8:$K$238)</f>
        <v>0</v>
      </c>
      <c r="M35" s="24" t="str">
        <f t="shared" si="10"/>
        <v>%</v>
      </c>
      <c r="N35" s="11"/>
      <c r="O35" s="11">
        <f>SUMIF('[1]Revenue and Expense Detail-CLS'!$D$8:$D$238,"DES-7500",'[1]Revenue and Expense Detail-CLS'!$E$8:$E$238)</f>
        <v>0</v>
      </c>
      <c r="P35" s="11">
        <f>SUMIF('[1]Revenue and Expense Detail-CLS'!$D$8:$D$238,"DES-7500",'[1]Revenue and Expense Detail-CLS'!$H$8:$H$238)</f>
        <v>0</v>
      </c>
      <c r="Q35" s="11">
        <f>SUMIF('[1]Revenue and Expense Detail-CLS'!$D$8:$D$238,"DES-7500",'[1]Revenue and Expense Detail-CLS'!$K$8:$K$238)</f>
        <v>0</v>
      </c>
      <c r="R35" s="24" t="str">
        <f t="shared" si="11"/>
        <v>%</v>
      </c>
      <c r="S35" s="11"/>
      <c r="T35" s="11">
        <f>SUMIF('[1]Revenue and Expense Detail-CLS'!$D$8:$D$238,"CAO-7500",'[1]Revenue and Expense Detail-CLS'!$E$8:$E$238)</f>
        <v>0</v>
      </c>
      <c r="U35" s="11">
        <f>SUMIF('[1]Revenue and Expense Detail-CLS'!$D$8:$D$238,"CAO-7500",'[1]Revenue and Expense Detail-CLS'!$H$8:$H$238)</f>
        <v>0</v>
      </c>
      <c r="V35" s="11">
        <f>SUMIF('[1]Revenue and Expense Detail-CLS'!$D$8:$D$238,"CAO-7500",'[1]Revenue and Expense Detail-CLS'!$K$8:$K$238)</f>
        <v>0</v>
      </c>
      <c r="W35" s="24" t="str">
        <f t="shared" si="12"/>
        <v>%</v>
      </c>
      <c r="X35" s="11"/>
      <c r="Y35" s="37">
        <f t="shared" si="7"/>
        <v>2329.5</v>
      </c>
      <c r="Z35" s="37">
        <f t="shared" si="7"/>
        <v>13054.470000000001</v>
      </c>
      <c r="AA35" s="37">
        <f t="shared" si="8"/>
        <v>33346.638377268602</v>
      </c>
      <c r="AB35" s="24">
        <f t="shared" si="13"/>
        <v>0.39147784110373296</v>
      </c>
    </row>
    <row r="36" spans="1:28" x14ac:dyDescent="0.2">
      <c r="B36" s="39" t="s">
        <v>75</v>
      </c>
      <c r="C36" s="34">
        <v>7600</v>
      </c>
      <c r="D36" s="39"/>
      <c r="E36" s="11">
        <f>SUMIF('[1]Revenue and Expense Detail-CLS'!$D$8:$D$238,"GEN-7600",'[1]Revenue and Expense Detail-CLS'!$E$8:$E$238)</f>
        <v>0</v>
      </c>
      <c r="F36" s="11">
        <f>SUMIF('[1]Revenue and Expense Detail-CLS'!$D$8:$D$238,"GEN-7600",'[1]Revenue and Expense Detail-CLS'!$H$8:$H$238)</f>
        <v>0</v>
      </c>
      <c r="G36" s="11">
        <f>SUMIF('[1]Revenue and Expense Detail-CLS'!$D$8:$D$238,"GEN-7600",'[1]Revenue and Expense Detail-CLS'!$K$8:$K$238)</f>
        <v>0</v>
      </c>
      <c r="H36" s="24" t="str">
        <f t="shared" si="9"/>
        <v>%</v>
      </c>
      <c r="I36" s="11"/>
      <c r="J36" s="11">
        <f>SUMIF('[1]Revenue and Expense Detail-CLS'!$D$8:$D$238,"SPR-7600",'[1]Revenue and Expense Detail-CLS'!$E$8:$E$238)</f>
        <v>0</v>
      </c>
      <c r="K36" s="11">
        <f>SUMIF('[1]Revenue and Expense Detail-CLS'!$D$8:$D$238,"SPR-7600",'[1]Revenue and Expense Detail-CLS'!$H$8:$H$238)</f>
        <v>0</v>
      </c>
      <c r="L36" s="11">
        <f>SUMIF('[1]Revenue and Expense Detail-CLS'!$D$8:$D$238,"SPR-7600",'[1]Revenue and Expense Detail-CLS'!$K$8:$K$238)</f>
        <v>0</v>
      </c>
      <c r="M36" s="24" t="str">
        <f t="shared" si="10"/>
        <v>%</v>
      </c>
      <c r="N36" s="11"/>
      <c r="O36" s="11">
        <f>SUMIF('[1]Revenue and Expense Detail-CLS'!$D$8:$D$238,"DES-7600",'[1]Revenue and Expense Detail-CLS'!$E$8:$E$238)</f>
        <v>0</v>
      </c>
      <c r="P36" s="11">
        <f>SUMIF('[1]Revenue and Expense Detail-CLS'!$D$8:$D$238,"DES-7600",'[1]Revenue and Expense Detail-CLS'!$H$8:$H$238)</f>
        <v>0</v>
      </c>
      <c r="Q36" s="11">
        <f>SUMIF('[1]Revenue and Expense Detail-CLS'!$D$8:$D$238,"DES-7600",'[1]Revenue and Expense Detail-CLS'!$K$8:$K$238)</f>
        <v>0</v>
      </c>
      <c r="R36" s="24" t="str">
        <f t="shared" si="11"/>
        <v>%</v>
      </c>
      <c r="S36" s="11"/>
      <c r="T36" s="11">
        <f>SUMIF('[1]Revenue and Expense Detail-CLS'!$D$8:$D$238,"CAO-7600",'[1]Revenue and Expense Detail-CLS'!$E$8:$E$238)</f>
        <v>0</v>
      </c>
      <c r="U36" s="11">
        <f>SUMIF('[1]Revenue and Expense Detail-CLS'!$D$8:$D$238,"CAO-7600",'[1]Revenue and Expense Detail-CLS'!$H$8:$H$238)</f>
        <v>0</v>
      </c>
      <c r="V36" s="11">
        <f>SUMIF('[1]Revenue and Expense Detail-CLS'!$D$8:$D$238,"CAO-7600",'[1]Revenue and Expense Detail-CLS'!$K$8:$K$238)</f>
        <v>0</v>
      </c>
      <c r="W36" s="24" t="str">
        <f t="shared" si="12"/>
        <v>%</v>
      </c>
      <c r="X36" s="11"/>
      <c r="Y36" s="37">
        <f t="shared" si="7"/>
        <v>0</v>
      </c>
      <c r="Z36" s="37">
        <f t="shared" si="7"/>
        <v>0</v>
      </c>
      <c r="AA36" s="37">
        <f t="shared" si="8"/>
        <v>0</v>
      </c>
      <c r="AB36" s="24" t="str">
        <f t="shared" si="13"/>
        <v>%</v>
      </c>
    </row>
    <row r="37" spans="1:28" x14ac:dyDescent="0.2">
      <c r="B37" s="39" t="s">
        <v>76</v>
      </c>
      <c r="C37" s="34">
        <v>7700</v>
      </c>
      <c r="D37" s="39"/>
      <c r="E37" s="11">
        <f>SUMIF('[1]Revenue and Expense Detail-CLS'!$D$8:$D$238,"GEN-7700",'[1]Revenue and Expense Detail-CLS'!$E$8:$E$238)</f>
        <v>0</v>
      </c>
      <c r="F37" s="11">
        <f>SUMIF('[1]Revenue and Expense Detail-CLS'!$D$8:$D$238,"GEN-7700",'[1]Revenue and Expense Detail-CLS'!$H$8:$H$238)</f>
        <v>0</v>
      </c>
      <c r="G37" s="11">
        <f>SUMIF('[1]Revenue and Expense Detail-CLS'!$D$8:$D$238,"GEN-7700",'[1]Revenue and Expense Detail-CLS'!$K$8:$K$238)</f>
        <v>0</v>
      </c>
      <c r="H37" s="24" t="str">
        <f t="shared" si="9"/>
        <v>%</v>
      </c>
      <c r="I37" s="11"/>
      <c r="J37" s="11">
        <f>SUMIF('[1]Revenue and Expense Detail-CLS'!$D$8:$D$238,"SPR-7700",'[1]Revenue and Expense Detail-CLS'!$E$8:$E$238)</f>
        <v>0</v>
      </c>
      <c r="K37" s="11">
        <f>SUMIF('[1]Revenue and Expense Detail-CLS'!$D$8:$D$238,"SPR-7700",'[1]Revenue and Expense Detail-CLS'!$H$8:$H$238)</f>
        <v>0</v>
      </c>
      <c r="L37" s="11">
        <f>SUMIF('[1]Revenue and Expense Detail-CLS'!$D$8:$D$238,"SPR-7700",'[1]Revenue and Expense Detail-CLS'!$K$8:$K$238)</f>
        <v>0</v>
      </c>
      <c r="M37" s="24" t="str">
        <f t="shared" si="10"/>
        <v>%</v>
      </c>
      <c r="N37" s="11"/>
      <c r="O37" s="11">
        <f>SUMIF('[1]Revenue and Expense Detail-CLS'!$D$8:$D$238,"DES-7700",'[1]Revenue and Expense Detail-CLS'!$E$8:$E$238)</f>
        <v>0</v>
      </c>
      <c r="P37" s="11">
        <f>SUMIF('[1]Revenue and Expense Detail-CLS'!$D$8:$D$238,"DES-7700",'[1]Revenue and Expense Detail-CLS'!$H$8:$H$238)</f>
        <v>0</v>
      </c>
      <c r="Q37" s="11">
        <f>SUMIF('[1]Revenue and Expense Detail-CLS'!$D$8:$D$238,"DES-7700",'[1]Revenue and Expense Detail-CLS'!$K$8:$K$238)</f>
        <v>0</v>
      </c>
      <c r="R37" s="24" t="str">
        <f t="shared" si="11"/>
        <v>%</v>
      </c>
      <c r="S37" s="11"/>
      <c r="T37" s="11">
        <f>SUMIF('[1]Revenue and Expense Detail-CLS'!$D$8:$D$238,"CAO-7700",'[1]Revenue and Expense Detail-CLS'!$E$8:$E$238)</f>
        <v>0</v>
      </c>
      <c r="U37" s="11">
        <f>SUMIF('[1]Revenue and Expense Detail-CLS'!$D$8:$D$238,"CAO-7700",'[1]Revenue and Expense Detail-CLS'!$H$8:$H$238)</f>
        <v>0</v>
      </c>
      <c r="V37" s="11">
        <f>SUMIF('[1]Revenue and Expense Detail-CLS'!$D$8:$D$238,"CAO-7700",'[1]Revenue and Expense Detail-CLS'!$K$8:$K$238)</f>
        <v>0</v>
      </c>
      <c r="W37" s="24" t="str">
        <f t="shared" si="12"/>
        <v>%</v>
      </c>
      <c r="X37" s="11"/>
      <c r="Y37" s="37">
        <f t="shared" si="7"/>
        <v>0</v>
      </c>
      <c r="Z37" s="37">
        <f t="shared" si="7"/>
        <v>0</v>
      </c>
      <c r="AA37" s="37">
        <f t="shared" si="8"/>
        <v>0</v>
      </c>
      <c r="AB37" s="24" t="str">
        <f t="shared" si="13"/>
        <v>%</v>
      </c>
    </row>
    <row r="38" spans="1:28" x14ac:dyDescent="0.2">
      <c r="B38" s="39" t="s">
        <v>77</v>
      </c>
      <c r="C38" s="34">
        <v>7800</v>
      </c>
      <c r="D38" s="39"/>
      <c r="E38" s="11">
        <f>SUMIF('[1]Revenue and Expense Detail-CLS'!$D$8:$D$238,"GEN-7800",'[1]Revenue and Expense Detail-CLS'!$E$8:$E$238)</f>
        <v>262.5</v>
      </c>
      <c r="F38" s="11">
        <f>SUMIF('[1]Revenue and Expense Detail-CLS'!$D$8:$D$238,"GEN-7800",'[1]Revenue and Expense Detail-CLS'!$H$8:$H$238)</f>
        <v>1292.45</v>
      </c>
      <c r="G38" s="11">
        <f>SUMIF('[1]Revenue and Expense Detail-CLS'!$D$8:$D$238,"GEN-7800",'[1]Revenue and Expense Detail-CLS'!$K$8:$K$238)</f>
        <v>3358.4359550561803</v>
      </c>
      <c r="H38" s="24">
        <f t="shared" si="9"/>
        <v>0.38483687564569913</v>
      </c>
      <c r="I38" s="11"/>
      <c r="J38" s="11">
        <f>SUMIF('[1]Revenue and Expense Detail-CLS'!$D$8:$D$238,"SPR-7800",'[1]Revenue and Expense Detail-CLS'!$E$8:$E$238)</f>
        <v>0</v>
      </c>
      <c r="K38" s="11">
        <f>SUMIF('[1]Revenue and Expense Detail-CLS'!$D$8:$D$238,"SPR-7800",'[1]Revenue and Expense Detail-CLS'!$H$8:$H$238)</f>
        <v>0</v>
      </c>
      <c r="L38" s="11">
        <f>SUMIF('[1]Revenue and Expense Detail-CLS'!$D$8:$D$238,"SPR-7800",'[1]Revenue and Expense Detail-CLS'!$K$8:$K$238)</f>
        <v>0</v>
      </c>
      <c r="M38" s="24" t="str">
        <f t="shared" si="10"/>
        <v>%</v>
      </c>
      <c r="N38" s="11"/>
      <c r="O38" s="11">
        <f>SUMIF('[1]Revenue and Expense Detail-CLS'!$D$8:$D$238,"DES-7800",'[1]Revenue and Expense Detail-CLS'!$E$8:$E$238)</f>
        <v>0</v>
      </c>
      <c r="P38" s="11">
        <f>SUMIF('[1]Revenue and Expense Detail-CLS'!$D$8:$D$238,"DES-7800",'[1]Revenue and Expense Detail-CLS'!$H$8:$H$238)</f>
        <v>0</v>
      </c>
      <c r="Q38" s="11">
        <f>SUMIF('[1]Revenue and Expense Detail-CLS'!$D$8:$D$238,"DES-7800",'[1]Revenue and Expense Detail-CLS'!$K$8:$K$238)</f>
        <v>0</v>
      </c>
      <c r="R38" s="24" t="str">
        <f t="shared" si="11"/>
        <v>%</v>
      </c>
      <c r="S38" s="11"/>
      <c r="T38" s="11">
        <f>SUMIF('[1]Revenue and Expense Detail-CLS'!$D$8:$D$238,"CAO-7800",'[1]Revenue and Expense Detail-CLS'!$E$8:$E$238)</f>
        <v>0</v>
      </c>
      <c r="U38" s="11">
        <f>SUMIF('[1]Revenue and Expense Detail-CLS'!$D$8:$D$238,"CAO-7800",'[1]Revenue and Expense Detail-CLS'!$H$8:$H$238)</f>
        <v>0</v>
      </c>
      <c r="V38" s="11">
        <f>SUMIF('[1]Revenue and Expense Detail-CLS'!$D$8:$D$238,"CAO-7800",'[1]Revenue and Expense Detail-CLS'!$K$8:$K$238)</f>
        <v>0</v>
      </c>
      <c r="W38" s="24" t="str">
        <f t="shared" si="12"/>
        <v>%</v>
      </c>
      <c r="X38" s="11"/>
      <c r="Y38" s="37">
        <f t="shared" si="7"/>
        <v>262.5</v>
      </c>
      <c r="Z38" s="37">
        <f t="shared" si="7"/>
        <v>1292.45</v>
      </c>
      <c r="AA38" s="37">
        <f t="shared" si="8"/>
        <v>3358.4359550561803</v>
      </c>
      <c r="AB38" s="24">
        <f t="shared" si="13"/>
        <v>0.38483687564569913</v>
      </c>
    </row>
    <row r="39" spans="1:28" x14ac:dyDescent="0.2">
      <c r="B39" s="39" t="s">
        <v>78</v>
      </c>
      <c r="C39" s="34">
        <v>7900</v>
      </c>
      <c r="D39" s="39"/>
      <c r="E39" s="11">
        <f>SUMIF('[1]Revenue and Expense Detail-CLS'!$D$8:$D$238,"GEN-7900",'[1]Revenue and Expense Detail-CLS'!$E$8:$E$238)</f>
        <v>7826.3899999999994</v>
      </c>
      <c r="F39" s="11">
        <f>SUMIF('[1]Revenue and Expense Detail-CLS'!$D$8:$D$238,"GEN-7900",'[1]Revenue and Expense Detail-CLS'!$H$8:$H$238)</f>
        <v>39579.520000000011</v>
      </c>
      <c r="G39" s="11">
        <f>SUMIF('[1]Revenue and Expense Detail-CLS'!$D$8:$D$238,"GEN-7900",'[1]Revenue and Expense Detail-CLS'!$K$8:$K$238)</f>
        <v>94866.492400000003</v>
      </c>
      <c r="H39" s="24">
        <f t="shared" si="9"/>
        <v>0.41721285354490467</v>
      </c>
      <c r="I39" s="11"/>
      <c r="J39" s="11">
        <f>SUMIF('[1]Revenue and Expense Detail-CLS'!$D$8:$D$238,"SPR-7900",'[1]Revenue and Expense Detail-CLS'!$E$8:$E$238)</f>
        <v>0</v>
      </c>
      <c r="K39" s="11">
        <f>SUMIF('[1]Revenue and Expense Detail-CLS'!$D$8:$D$238,"SPR-7900",'[1]Revenue and Expense Detail-CLS'!$H$8:$H$238)</f>
        <v>0</v>
      </c>
      <c r="L39" s="11">
        <f>SUMIF('[1]Revenue and Expense Detail-CLS'!$D$8:$D$238,"SPR-7900",'[1]Revenue and Expense Detail-CLS'!$K$8:$K$238)</f>
        <v>0</v>
      </c>
      <c r="M39" s="24" t="str">
        <f t="shared" si="10"/>
        <v>%</v>
      </c>
      <c r="N39" s="11"/>
      <c r="O39" s="11">
        <f>SUMIF('[1]Revenue and Expense Detail-CLS'!$D$8:$D$238,"DES-7900",'[1]Revenue and Expense Detail-CLS'!$E$8:$E$238)</f>
        <v>0</v>
      </c>
      <c r="P39" s="11">
        <f>SUMIF('[1]Revenue and Expense Detail-CLS'!$D$8:$D$238,"DES-7900",'[1]Revenue and Expense Detail-CLS'!$H$8:$H$238)</f>
        <v>0</v>
      </c>
      <c r="Q39" s="11">
        <f>SUMIF('[1]Revenue and Expense Detail-CLS'!$D$8:$D$238,"DES-7900",'[1]Revenue and Expense Detail-CLS'!$K$8:$K$238)</f>
        <v>0</v>
      </c>
      <c r="R39" s="24" t="str">
        <f t="shared" si="11"/>
        <v>%</v>
      </c>
      <c r="S39" s="11"/>
      <c r="T39" s="11">
        <f>SUMIF('[1]Revenue and Expense Detail-CLS'!$D$8:$D$238,"CAO-7900",'[1]Revenue and Expense Detail-CLS'!$E$8:$E$238)</f>
        <v>0</v>
      </c>
      <c r="U39" s="11">
        <f>SUMIF('[1]Revenue and Expense Detail-CLS'!$D$8:$D$238,"CAO-7900",'[1]Revenue and Expense Detail-CLS'!$H$8:$H$238)</f>
        <v>0</v>
      </c>
      <c r="V39" s="11">
        <f>SUMIF('[1]Revenue and Expense Detail-CLS'!$D$8:$D$238,"CAO-7900",'[1]Revenue and Expense Detail-CLS'!$K$8:$K$238)</f>
        <v>0</v>
      </c>
      <c r="W39" s="24" t="str">
        <f t="shared" si="12"/>
        <v>%</v>
      </c>
      <c r="X39" s="11"/>
      <c r="Y39" s="37">
        <f t="shared" si="7"/>
        <v>7826.3899999999994</v>
      </c>
      <c r="Z39" s="37">
        <f t="shared" si="7"/>
        <v>39579.520000000011</v>
      </c>
      <c r="AA39" s="37">
        <f t="shared" si="8"/>
        <v>94866.492400000003</v>
      </c>
      <c r="AB39" s="24">
        <f t="shared" si="13"/>
        <v>0.41721285354490467</v>
      </c>
    </row>
    <row r="40" spans="1:28" x14ac:dyDescent="0.2">
      <c r="B40" s="39" t="s">
        <v>79</v>
      </c>
      <c r="C40" s="34">
        <v>8100</v>
      </c>
      <c r="D40" s="39"/>
      <c r="E40" s="11">
        <f>SUMIF('[1]Revenue and Expense Detail-CLS'!$D$8:$D$238,"GEN-8100",'[1]Revenue and Expense Detail-CLS'!$E$8:$E$238)</f>
        <v>2739.5</v>
      </c>
      <c r="F40" s="11">
        <f>SUMIF('[1]Revenue and Expense Detail-CLS'!$D$8:$D$238,"GEN-8100",'[1]Revenue and Expense Detail-CLS'!$H$8:$H$238)</f>
        <v>8778</v>
      </c>
      <c r="G40" s="11">
        <f>SUMIF('[1]Revenue and Expense Detail-CLS'!$D$8:$D$238,"GEN-8100",'[1]Revenue and Expense Detail-CLS'!$K$8:$K$238)</f>
        <v>16949.084999999999</v>
      </c>
      <c r="H40" s="24">
        <f t="shared" si="9"/>
        <v>0.5179040638476945</v>
      </c>
      <c r="I40" s="11"/>
      <c r="J40" s="11">
        <f>SUMIF('[1]Revenue and Expense Detail-CLS'!$D$8:$D$238,"SPR-8100",'[1]Revenue and Expense Detail-CLS'!$E$8:$E$238)</f>
        <v>0</v>
      </c>
      <c r="K40" s="11">
        <f>SUMIF('[1]Revenue and Expense Detail-CLS'!$D$8:$D$238,"SPR-8100",'[1]Revenue and Expense Detail-CLS'!$H$8:$H$238)</f>
        <v>0</v>
      </c>
      <c r="L40" s="11">
        <f>SUMIF('[1]Revenue and Expense Detail-CLS'!$D$8:$D$238,"SPR-8100",'[1]Revenue and Expense Detail-CLS'!$K$8:$K$238)</f>
        <v>0</v>
      </c>
      <c r="M40" s="24" t="str">
        <f t="shared" si="10"/>
        <v>%</v>
      </c>
      <c r="N40" s="11"/>
      <c r="O40" s="11">
        <f>SUMIF('[1]Revenue and Expense Detail-CLS'!$D$8:$D$238,"DES-8100",'[1]Revenue and Expense Detail-CLS'!$E$8:$E$238)</f>
        <v>0</v>
      </c>
      <c r="P40" s="11">
        <f>SUMIF('[1]Revenue and Expense Detail-CLS'!$D$8:$D$238,"DES-8100",'[1]Revenue and Expense Detail-CLS'!$H$8:$H$238)</f>
        <v>0</v>
      </c>
      <c r="Q40" s="11">
        <f>SUMIF('[1]Revenue and Expense Detail-CLS'!$D$8:$D$238,"DES-8100",'[1]Revenue and Expense Detail-CLS'!$K$8:$K$238)</f>
        <v>0</v>
      </c>
      <c r="R40" s="24" t="str">
        <f t="shared" si="11"/>
        <v>%</v>
      </c>
      <c r="S40" s="11"/>
      <c r="T40" s="11">
        <f>SUMIF('[1]Revenue and Expense Detail-CLS'!$D$8:$D$238,"CAO-8100",'[1]Revenue and Expense Detail-CLS'!$E$8:$E$238)</f>
        <v>0</v>
      </c>
      <c r="U40" s="11">
        <f>SUMIF('[1]Revenue and Expense Detail-CLS'!$D$8:$D$238,"CAO-8100",'[1]Revenue and Expense Detail-CLS'!$H$8:$H$238)</f>
        <v>0</v>
      </c>
      <c r="V40" s="11">
        <f>SUMIF('[1]Revenue and Expense Detail-CLS'!$D$8:$D$238,"CAO-8100",'[1]Revenue and Expense Detail-CLS'!$K$8:$K$238)</f>
        <v>0</v>
      </c>
      <c r="W40" s="24" t="str">
        <f t="shared" si="12"/>
        <v>%</v>
      </c>
      <c r="X40" s="11"/>
      <c r="Y40" s="37">
        <f t="shared" si="7"/>
        <v>2739.5</v>
      </c>
      <c r="Z40" s="37">
        <f t="shared" si="7"/>
        <v>8778</v>
      </c>
      <c r="AA40" s="37">
        <f t="shared" si="8"/>
        <v>16949.084999999999</v>
      </c>
      <c r="AB40" s="24">
        <f t="shared" si="13"/>
        <v>0.5179040638476945</v>
      </c>
    </row>
    <row r="41" spans="1:28" x14ac:dyDescent="0.2">
      <c r="B41" s="39" t="s">
        <v>80</v>
      </c>
      <c r="C41" s="34">
        <v>8200</v>
      </c>
      <c r="D41" s="39"/>
      <c r="E41" s="11">
        <f>SUMIF('[1]Revenue and Expense Detail-CLS'!$D$8:$D$238,"GEN-8200",'[1]Revenue and Expense Detail-CLS'!$E$8:$E$238)</f>
        <v>0</v>
      </c>
      <c r="F41" s="11">
        <f>SUMIF('[1]Revenue and Expense Detail-CLS'!$D$8:$D$238,"GEN-8200",'[1]Revenue and Expense Detail-CLS'!$H$8:$H$238)</f>
        <v>0</v>
      </c>
      <c r="G41" s="11">
        <f>SUMIF('[1]Revenue and Expense Detail-CLS'!$D$8:$D$238,"GEN-8200",'[1]Revenue and Expense Detail-CLS'!$K$8:$K$238)</f>
        <v>0</v>
      </c>
      <c r="H41" s="24" t="str">
        <f t="shared" si="9"/>
        <v>%</v>
      </c>
      <c r="I41" s="11"/>
      <c r="J41" s="11">
        <f>SUMIF('[1]Revenue and Expense Detail-CLS'!$D$8:$D$238,"SPR-8200",'[1]Revenue and Expense Detail-CLS'!$E$8:$E$238)</f>
        <v>0</v>
      </c>
      <c r="K41" s="11">
        <f>SUMIF('[1]Revenue and Expense Detail-CLS'!$D$8:$D$238,"SPR-8200",'[1]Revenue and Expense Detail-CLS'!$H$8:$H$238)</f>
        <v>0</v>
      </c>
      <c r="L41" s="11">
        <f>SUMIF('[1]Revenue and Expense Detail-CLS'!$D$8:$D$238,"SPR-8200",'[1]Revenue and Expense Detail-CLS'!$K$8:$K$238)</f>
        <v>0</v>
      </c>
      <c r="M41" s="24" t="str">
        <f t="shared" si="10"/>
        <v>%</v>
      </c>
      <c r="N41" s="11"/>
      <c r="O41" s="11">
        <f>SUMIF('[1]Revenue and Expense Detail-CLS'!$D$8:$D$238,"DES-8200",'[1]Revenue and Expense Detail-CLS'!$E$8:$E$238)</f>
        <v>0</v>
      </c>
      <c r="P41" s="11">
        <f>SUMIF('[1]Revenue and Expense Detail-CLS'!$D$8:$D$238,"DES-8200",'[1]Revenue and Expense Detail-CLS'!$H$8:$H$238)</f>
        <v>0</v>
      </c>
      <c r="Q41" s="11">
        <f>SUMIF('[1]Revenue and Expense Detail-CLS'!$D$8:$D$238,"DES-8200",'[1]Revenue and Expense Detail-CLS'!$K$8:$K$238)</f>
        <v>0</v>
      </c>
      <c r="R41" s="24" t="str">
        <f t="shared" si="11"/>
        <v>%</v>
      </c>
      <c r="S41" s="11"/>
      <c r="T41" s="11">
        <f>SUMIF('[1]Revenue and Expense Detail-CLS'!$D$8:$D$238,"CAO-8200",'[1]Revenue and Expense Detail-CLS'!$E$8:$E$238)</f>
        <v>0</v>
      </c>
      <c r="U41" s="11">
        <f>SUMIF('[1]Revenue and Expense Detail-CLS'!$D$8:$D$238,"CAO-8200",'[1]Revenue and Expense Detail-CLS'!$H$8:$H$238)</f>
        <v>0</v>
      </c>
      <c r="V41" s="11">
        <f>SUMIF('[1]Revenue and Expense Detail-CLS'!$D$8:$D$238,"CAO-8200",'[1]Revenue and Expense Detail-CLS'!$K$8:$K$238)</f>
        <v>0</v>
      </c>
      <c r="W41" s="24" t="str">
        <f t="shared" si="12"/>
        <v>%</v>
      </c>
      <c r="X41" s="11"/>
      <c r="Y41" s="37">
        <f t="shared" si="7"/>
        <v>0</v>
      </c>
      <c r="Z41" s="37">
        <f t="shared" si="7"/>
        <v>0</v>
      </c>
      <c r="AA41" s="37">
        <f t="shared" si="8"/>
        <v>0</v>
      </c>
      <c r="AB41" s="24" t="str">
        <f t="shared" si="13"/>
        <v>%</v>
      </c>
    </row>
    <row r="42" spans="1:28" x14ac:dyDescent="0.2">
      <c r="B42" s="39" t="s">
        <v>81</v>
      </c>
      <c r="C42" s="34">
        <v>9100</v>
      </c>
      <c r="D42" s="39"/>
      <c r="E42" s="11">
        <f>SUMIF('[1]Revenue and Expense Detail-CLS'!$D$8:$D$238,"GEN-9100",'[1]Revenue and Expense Detail-CLS'!$E$8:$E$238)</f>
        <v>500</v>
      </c>
      <c r="F42" s="11">
        <f>SUMIF('[1]Revenue and Expense Detail-CLS'!$D$8:$D$238,"GEN-9100",'[1]Revenue and Expense Detail-CLS'!$H$8:$H$238)</f>
        <v>500</v>
      </c>
      <c r="G42" s="11">
        <f>SUMIF('[1]Revenue and Expense Detail-CLS'!$D$8:$D$238,"GEN-9100",'[1]Revenue and Expense Detail-CLS'!$K$8:$K$238)</f>
        <v>102</v>
      </c>
      <c r="H42" s="24">
        <f t="shared" si="9"/>
        <v>4.9019607843137258</v>
      </c>
      <c r="I42" s="11"/>
      <c r="J42" s="11">
        <f>SUMIF('[1]Revenue and Expense Detail-CLS'!$D$8:$D$238,"SPR-9100",'[1]Revenue and Expense Detail-CLS'!$E$8:$E$238)</f>
        <v>0</v>
      </c>
      <c r="K42" s="11">
        <f>SUMIF('[1]Revenue and Expense Detail-CLS'!$D$8:$D$238,"SPR-9100",'[1]Revenue and Expense Detail-CLS'!$H$8:$H$238)</f>
        <v>0</v>
      </c>
      <c r="L42" s="11">
        <f>SUMIF('[1]Revenue and Expense Detail-CLS'!$D$8:$D$238,"SPR-9100",'[1]Revenue and Expense Detail-CLS'!$K$8:$K$238)</f>
        <v>0</v>
      </c>
      <c r="M42" s="24" t="str">
        <f t="shared" si="10"/>
        <v>%</v>
      </c>
      <c r="N42" s="11"/>
      <c r="O42" s="11">
        <f>SUMIF('[1]Revenue and Expense Detail-CLS'!$D$8:$D$238,"DES-9100",'[1]Revenue and Expense Detail-CLS'!$E$8:$E$238)</f>
        <v>0</v>
      </c>
      <c r="P42" s="11">
        <f>SUMIF('[1]Revenue and Expense Detail-CLS'!$D$8:$D$238,"DES-9100",'[1]Revenue and Expense Detail-CLS'!$H$8:$H$238)</f>
        <v>0</v>
      </c>
      <c r="Q42" s="11">
        <f>SUMIF('[1]Revenue and Expense Detail-CLS'!$D$8:$D$238,"DES-9100",'[1]Revenue and Expense Detail-CLS'!$K$8:$K$238)</f>
        <v>0</v>
      </c>
      <c r="R42" s="24" t="str">
        <f t="shared" si="11"/>
        <v>%</v>
      </c>
      <c r="S42" s="11"/>
      <c r="T42" s="11">
        <f>SUMIF('[1]Revenue and Expense Detail-CLS'!$D$8:$D$238,"CAO-9100",'[1]Revenue and Expense Detail-CLS'!$E$8:$E$238)</f>
        <v>0</v>
      </c>
      <c r="U42" s="11">
        <f>SUMIF('[1]Revenue and Expense Detail-CLS'!$D$8:$D$238,"CAO-9100",'[1]Revenue and Expense Detail-CLS'!$H$8:$H$238)</f>
        <v>0</v>
      </c>
      <c r="V42" s="11">
        <f>SUMIF('[1]Revenue and Expense Detail-CLS'!$D$8:$D$238,"CAO-9100",'[1]Revenue and Expense Detail-CLS'!$K$8:$K$238)</f>
        <v>0</v>
      </c>
      <c r="W42" s="24" t="str">
        <f t="shared" si="12"/>
        <v>%</v>
      </c>
      <c r="X42" s="11"/>
      <c r="Y42" s="37">
        <f t="shared" si="7"/>
        <v>500</v>
      </c>
      <c r="Z42" s="37">
        <f t="shared" si="7"/>
        <v>500</v>
      </c>
      <c r="AA42" s="37">
        <f t="shared" si="8"/>
        <v>102</v>
      </c>
      <c r="AB42" s="24">
        <f t="shared" si="13"/>
        <v>4.9019607843137258</v>
      </c>
    </row>
    <row r="43" spans="1:28" x14ac:dyDescent="0.2">
      <c r="B43" s="39" t="s">
        <v>82</v>
      </c>
      <c r="C43" s="34">
        <v>9200</v>
      </c>
      <c r="D43" s="39"/>
      <c r="E43" s="11">
        <f>SUMIF('[1]Revenue and Expense Detail-CLS'!$D$8:$D$238,"GEN-9200",'[1]Revenue and Expense Detail-CLS'!$E$8:$E$238)</f>
        <v>0</v>
      </c>
      <c r="F43" s="11">
        <f>SUMIF('[1]Revenue and Expense Detail-CLS'!$D$8:$D$238,"GEN-9200",'[1]Revenue and Expense Detail-CLS'!$H$8:$H$238)</f>
        <v>0</v>
      </c>
      <c r="G43" s="11">
        <f>SUMIF('[1]Revenue and Expense Detail-CLS'!$D$8:$D$238,"GEN-9200",'[1]Revenue and Expense Detail-CLS'!$K$8:$K$238)</f>
        <v>0</v>
      </c>
      <c r="H43" s="24" t="str">
        <f t="shared" si="9"/>
        <v>%</v>
      </c>
      <c r="I43" s="11"/>
      <c r="J43" s="11">
        <f>SUMIF('[1]Revenue and Expense Detail-CLS'!$D$8:$D$238,"SPR-9200",'[1]Revenue and Expense Detail-CLS'!$E$8:$E$238)</f>
        <v>0</v>
      </c>
      <c r="K43" s="11">
        <f>SUMIF('[1]Revenue and Expense Detail-CLS'!$D$8:$D$238,"SPR-9200",'[1]Revenue and Expense Detail-CLS'!$H$8:$H$238)</f>
        <v>0</v>
      </c>
      <c r="L43" s="11">
        <f>SUMIF('[1]Revenue and Expense Detail-CLS'!$D$8:$D$238,"SPR-9200",'[1]Revenue and Expense Detail-CLS'!$K$8:$K$238)</f>
        <v>0</v>
      </c>
      <c r="M43" s="24" t="str">
        <f t="shared" si="10"/>
        <v>%</v>
      </c>
      <c r="N43" s="11"/>
      <c r="O43" s="11">
        <f>SUMIF('[1]Revenue and Expense Detail-CLS'!$D$8:$D$238,"DES-9200",'[1]Revenue and Expense Detail-CLS'!$E$8:$E$238)</f>
        <v>0</v>
      </c>
      <c r="P43" s="11">
        <f>SUMIF('[1]Revenue and Expense Detail-CLS'!$D$8:$D$238,"DES-9200",'[1]Revenue and Expense Detail-CLS'!$H$8:$H$238)</f>
        <v>0</v>
      </c>
      <c r="Q43" s="11">
        <f>SUMIF('[1]Revenue and Expense Detail-CLS'!$D$8:$D$238,"DES-9200",'[1]Revenue and Expense Detail-CLS'!$K$8:$K$238)</f>
        <v>0</v>
      </c>
      <c r="R43" s="24" t="str">
        <f t="shared" si="11"/>
        <v>%</v>
      </c>
      <c r="S43" s="11"/>
      <c r="T43" s="11">
        <f>SUMIF('[1]Revenue and Expense Detail-CLS'!$D$8:$D$238,"CAO-9200",'[1]Revenue and Expense Detail-CLS'!$E$8:$E$238)</f>
        <v>1036.6400000000001</v>
      </c>
      <c r="U43" s="11">
        <f>SUMIF('[1]Revenue and Expense Detail-CLS'!$D$8:$D$238,"CAO-9200",'[1]Revenue and Expense Detail-CLS'!$H$8:$H$238)</f>
        <v>5183.2</v>
      </c>
      <c r="V43" s="11">
        <f>SUMIF('[1]Revenue and Expense Detail-CLS'!$D$8:$D$238,"CAO-9200",'[1]Revenue and Expense Detail-CLS'!$K$8:$K$238)</f>
        <v>12439.68</v>
      </c>
      <c r="W43" s="24">
        <f t="shared" si="12"/>
        <v>0.41666666666666663</v>
      </c>
      <c r="X43" s="11"/>
      <c r="Y43" s="37">
        <f t="shared" si="7"/>
        <v>1036.6400000000001</v>
      </c>
      <c r="Z43" s="37">
        <f t="shared" si="7"/>
        <v>5183.2</v>
      </c>
      <c r="AA43" s="37">
        <f t="shared" si="8"/>
        <v>12439.68</v>
      </c>
      <c r="AB43" s="24">
        <f t="shared" si="13"/>
        <v>0.41666666666666663</v>
      </c>
    </row>
    <row r="44" spans="1:28" ht="30.75" customHeight="1" x14ac:dyDescent="0.25">
      <c r="A44" s="7" t="s">
        <v>83</v>
      </c>
      <c r="E44" s="16">
        <f>SUM(E30:E43)</f>
        <v>104710.70000000001</v>
      </c>
      <c r="F44" s="16">
        <f>SUM(F30:F43)</f>
        <v>506458.89999999997</v>
      </c>
      <c r="G44" s="16">
        <f>SUM(G30:G43)</f>
        <v>1281512.7253401226</v>
      </c>
      <c r="H44" s="38" t="s">
        <v>84</v>
      </c>
      <c r="I44" s="11"/>
      <c r="J44" s="16">
        <f>SUM(J30:J43)</f>
        <v>2250</v>
      </c>
      <c r="K44" s="16">
        <f>SUM(K30:K43)</f>
        <v>10122</v>
      </c>
      <c r="L44" s="16">
        <f>SUM(L30:L43)</f>
        <v>0</v>
      </c>
      <c r="M44" s="38" t="s">
        <v>84</v>
      </c>
      <c r="N44" s="11"/>
      <c r="O44" s="16">
        <f>SUM(O30:O43)</f>
        <v>0</v>
      </c>
      <c r="P44" s="16">
        <f>SUM(P30:P43)</f>
        <v>0</v>
      </c>
      <c r="Q44" s="16">
        <f>SUM(Q30:Q43)</f>
        <v>0</v>
      </c>
      <c r="R44" s="38" t="s">
        <v>84</v>
      </c>
      <c r="S44" s="11"/>
      <c r="T44" s="16">
        <f>SUM(T30:T43)</f>
        <v>1036.6400000000001</v>
      </c>
      <c r="U44" s="16">
        <f>SUM(U30:U43)</f>
        <v>5183.2</v>
      </c>
      <c r="V44" s="16">
        <f>SUM(V30:V43)</f>
        <v>12439.68</v>
      </c>
      <c r="W44" s="38" t="s">
        <v>84</v>
      </c>
      <c r="X44" s="11"/>
      <c r="Y44" s="16">
        <f>SUM(Y30:Y43)</f>
        <v>107997.34000000001</v>
      </c>
      <c r="Z44" s="16">
        <f>SUM(Z30:Z43)</f>
        <v>521764.1</v>
      </c>
      <c r="AA44" s="16">
        <f>SUM(AA30:AA43)</f>
        <v>1293952.4053401225</v>
      </c>
      <c r="AB44" s="38" t="s">
        <v>84</v>
      </c>
    </row>
    <row r="45" spans="1:28" ht="27.75" customHeight="1" x14ac:dyDescent="0.25">
      <c r="A45" s="7" t="s">
        <v>85</v>
      </c>
      <c r="E45" s="40">
        <f>E26-E44</f>
        <v>-22411.670000000013</v>
      </c>
      <c r="F45" s="40">
        <f>F26-F44</f>
        <v>-8556.75</v>
      </c>
      <c r="G45" s="40">
        <f>G26-G44</f>
        <v>-8405.6953401225619</v>
      </c>
      <c r="H45" s="38">
        <f>IF(G45=0,"",F45/G45)</f>
        <v>1.017970513296671</v>
      </c>
      <c r="I45" s="11"/>
      <c r="J45" s="40">
        <f>J26-J44</f>
        <v>0</v>
      </c>
      <c r="K45" s="40">
        <f>K26-K44</f>
        <v>0</v>
      </c>
      <c r="L45" s="40">
        <f>L26-L44</f>
        <v>25000</v>
      </c>
      <c r="M45" s="38">
        <f>IF(L45=0,"",K45/L45)</f>
        <v>0</v>
      </c>
      <c r="N45" s="11"/>
      <c r="O45" s="40">
        <f>O26-O44</f>
        <v>0</v>
      </c>
      <c r="P45" s="40">
        <f>P26-P44</f>
        <v>0</v>
      </c>
      <c r="Q45" s="40">
        <f>Q26-Q44</f>
        <v>0</v>
      </c>
      <c r="R45" s="38" t="str">
        <f>IF(Q45=0,"",P45/Q45)</f>
        <v/>
      </c>
      <c r="S45" s="11"/>
      <c r="T45" s="40">
        <f>T26-T44</f>
        <v>1211.3599999999999</v>
      </c>
      <c r="U45" s="40">
        <f>U26-U44</f>
        <v>6090.8</v>
      </c>
      <c r="V45" s="40">
        <f>V26-V44</f>
        <v>12520.32</v>
      </c>
      <c r="W45" s="38">
        <f>IF(V45=0,"",U45/V45)</f>
        <v>0.48647318918366306</v>
      </c>
      <c r="X45" s="11"/>
      <c r="Y45" s="40">
        <f>Y26-Y44</f>
        <v>-21200.310000000012</v>
      </c>
      <c r="Z45" s="40">
        <f>Z26-Z44</f>
        <v>-2465.9500000000116</v>
      </c>
      <c r="AA45" s="40">
        <f>AA26-AA44</f>
        <v>29114.624659877503</v>
      </c>
      <c r="AB45" s="38">
        <f>IF(AA45=0,"",Z45/AA45)</f>
        <v>-8.4697983532595778E-2</v>
      </c>
    </row>
    <row r="46" spans="1:28" x14ac:dyDescent="0.2">
      <c r="E46" s="11"/>
      <c r="F46" s="11"/>
      <c r="G46" s="11"/>
      <c r="H46" s="24"/>
      <c r="I46" s="11"/>
      <c r="J46" s="11"/>
      <c r="K46" s="11"/>
      <c r="L46" s="11"/>
      <c r="M46" s="24"/>
      <c r="N46" s="11"/>
      <c r="O46" s="11"/>
      <c r="P46" s="11"/>
      <c r="Q46" s="11"/>
      <c r="R46" s="24"/>
      <c r="S46" s="11"/>
      <c r="T46" s="11"/>
      <c r="U46" s="11"/>
      <c r="V46" s="11"/>
      <c r="W46" s="24"/>
      <c r="X46" s="11"/>
      <c r="Y46" s="11"/>
      <c r="Z46" s="11"/>
      <c r="AA46" s="11"/>
      <c r="AB46" s="24"/>
    </row>
    <row r="47" spans="1:28" ht="15.75" x14ac:dyDescent="0.25">
      <c r="A47" s="7" t="s">
        <v>86</v>
      </c>
      <c r="E47" s="11"/>
      <c r="F47" s="11"/>
      <c r="G47" s="11"/>
      <c r="H47" s="24"/>
      <c r="I47" s="11"/>
      <c r="J47" s="11"/>
      <c r="K47" s="11"/>
      <c r="L47" s="11"/>
      <c r="M47" s="24"/>
      <c r="N47" s="11"/>
      <c r="O47" s="11"/>
      <c r="P47" s="11"/>
      <c r="Q47" s="11"/>
      <c r="R47" s="24"/>
      <c r="S47" s="11"/>
      <c r="T47" s="11"/>
      <c r="U47" s="11"/>
      <c r="V47" s="11"/>
      <c r="W47" s="24"/>
      <c r="X47" s="11"/>
      <c r="Y47" s="11"/>
      <c r="Z47" s="11"/>
      <c r="AA47" s="11"/>
      <c r="AB47" s="24"/>
    </row>
    <row r="48" spans="1:28" x14ac:dyDescent="0.2">
      <c r="A48" s="2" t="s">
        <v>87</v>
      </c>
      <c r="C48" s="10">
        <v>3600</v>
      </c>
      <c r="E48" s="11">
        <f>SUMIF('[1]Revenue and Expense Detail-CLS'!$D$8:$D$238,"GEN-3600",'[1]Revenue and Expense Detail-CLS'!$E$8:$E$238)</f>
        <v>0</v>
      </c>
      <c r="F48" s="11">
        <f>SUMIF('[1]Revenue and Expense Detail-CLS'!$D$8:$D$238,"GEN-3600",'[1]Revenue and Expense Detail-CLS'!$H$8:$H$238)</f>
        <v>0</v>
      </c>
      <c r="G48" s="11"/>
      <c r="H48" s="24" t="str">
        <f>IF(G48=0,"",F48/G48)</f>
        <v/>
      </c>
      <c r="I48" s="11"/>
      <c r="J48" s="11">
        <f>SUMIF('[1]Revenue and Expense Detail-CLS'!$D$8:$D$238,"SPR-3600",'[1]Revenue and Expense Detail-CLS'!$E$8:$E$238)</f>
        <v>0</v>
      </c>
      <c r="K48" s="11">
        <f>SUMIF('[1]Revenue and Expense Detail-CLS'!$D$8:$D$238,"SPR-3600",'[1]Revenue and Expense Detail-CLS'!$H$8:$H$238)</f>
        <v>0</v>
      </c>
      <c r="L48" s="11"/>
      <c r="M48" s="24" t="str">
        <f>IF(L48=0,"",K48/L48)</f>
        <v/>
      </c>
      <c r="N48" s="11"/>
      <c r="O48" s="11">
        <f>SUMIF('[1]Revenue and Expense Detail-CLS'!$D$8:$D$238,"DES-3600",'[1]Revenue and Expense Detail-CLS'!$E$8:$E$238)</f>
        <v>0</v>
      </c>
      <c r="P48" s="11">
        <f>SUMIF('[1]Revenue and Expense Detail-CLS'!$D$8:$D$238,"DES-3600",'[1]Revenue and Expense Detail-CLS'!$H$8:$H$238)</f>
        <v>0</v>
      </c>
      <c r="Q48" s="11"/>
      <c r="R48" s="24" t="str">
        <f>IF(Q48=0,"",P48/Q48)</f>
        <v/>
      </c>
      <c r="S48" s="11"/>
      <c r="T48" s="11">
        <f>SUMIF('[1]Revenue and Expense Detail-CLS'!$D$8:$D$238,"CAO-3600",'[1]Revenue and Expense Detail-CLS'!$E$8:$E$238)</f>
        <v>0</v>
      </c>
      <c r="U48" s="11">
        <f>SUMIF('[1]Revenue and Expense Detail-CLS'!$D$8:$D$238,"CAO-3600",'[1]Revenue and Expense Detail-CLS'!$H$8:$H$238)</f>
        <v>0</v>
      </c>
      <c r="V48" s="11"/>
      <c r="W48" s="24" t="str">
        <f>IF(V48=0,"",U48/V48)</f>
        <v/>
      </c>
      <c r="X48" s="11"/>
      <c r="Y48" s="37">
        <f t="shared" ref="Y48:AA50" si="14">E48+J48+O48+T48</f>
        <v>0</v>
      </c>
      <c r="Z48" s="37">
        <f t="shared" si="14"/>
        <v>0</v>
      </c>
      <c r="AA48" s="37">
        <f t="shared" si="14"/>
        <v>0</v>
      </c>
      <c r="AB48" s="24" t="str">
        <f>IF(AA48=0,"",Z48/AA48)</f>
        <v/>
      </c>
    </row>
    <row r="49" spans="1:28" x14ac:dyDescent="0.2">
      <c r="A49" s="2" t="s">
        <v>88</v>
      </c>
      <c r="C49" s="10">
        <v>3700</v>
      </c>
      <c r="E49" s="11">
        <f>SUMIF('[1]Revenue and Expense Detail-CLS'!$D$8:$D$238,"GEN-3700",'[1]Revenue and Expense Detail-CLS'!$E$8:$E$238)</f>
        <v>0</v>
      </c>
      <c r="F49" s="11">
        <f>SUMIF('[1]Revenue and Expense Detail-CLS'!$D$8:$D$238,"GEN-3700",'[1]Revenue and Expense Detail-CLS'!$H$8:$H$238)</f>
        <v>0</v>
      </c>
      <c r="G49" s="11"/>
      <c r="H49" s="24"/>
      <c r="I49" s="11"/>
      <c r="J49" s="41">
        <f>SUMIF('[1]Revenue and Expense Detail-CLS'!$D$8:$D$238,"SPR-3700",'[1]Revenue and Expense Detail-CLS'!$E$8:$E$238)</f>
        <v>0</v>
      </c>
      <c r="K49" s="41">
        <f>SUMIF('[1]Revenue and Expense Detail-CLS'!$D$8:$D$238,"SPR-3700",'[1]Revenue and Expense Detail-CLS'!$H$8:$H$238)</f>
        <v>0</v>
      </c>
      <c r="L49" s="11"/>
      <c r="M49" s="24"/>
      <c r="N49" s="11"/>
      <c r="O49" s="11">
        <f>SUMIF('[1]Revenue and Expense Detail-CLS'!$D$8:$D$238,"DES-3700",'[1]Revenue and Expense Detail-CLS'!$E$8:$E$238)</f>
        <v>0</v>
      </c>
      <c r="P49" s="11">
        <f>SUMIF('[1]Revenue and Expense Detail-CLS'!$D$8:$D$238,"DES-3700",'[1]Revenue and Expense Detail-CLS'!$H$8:$H$238)</f>
        <v>0</v>
      </c>
      <c r="Q49" s="11"/>
      <c r="R49" s="24"/>
      <c r="S49" s="11"/>
      <c r="T49" s="11">
        <f>SUMIF('[1]Revenue and Expense Detail-CLS'!$D$8:$D$238,"CAO-3700",'[1]Revenue and Expense Detail-CLS'!$E$8:$E$238)</f>
        <v>0</v>
      </c>
      <c r="U49" s="11">
        <f>SUMIF('[1]Revenue and Expense Detail-CLS'!$D$8:$D$238,"CAO-3700",'[1]Revenue and Expense Detail-CLS'!$H$8:$H$238)</f>
        <v>0</v>
      </c>
      <c r="V49" s="11"/>
      <c r="W49" s="24"/>
      <c r="X49" s="11"/>
      <c r="Y49" s="37">
        <f>J49+E49+O49+T49</f>
        <v>0</v>
      </c>
      <c r="Z49" s="37">
        <f>K49+F49+P49+U49</f>
        <v>0</v>
      </c>
      <c r="AA49" s="37">
        <f t="shared" si="14"/>
        <v>0</v>
      </c>
      <c r="AB49" s="24"/>
    </row>
    <row r="50" spans="1:28" x14ac:dyDescent="0.2">
      <c r="A50" s="2" t="s">
        <v>89</v>
      </c>
      <c r="C50" s="10">
        <v>9700</v>
      </c>
      <c r="E50" s="11">
        <f>SUMIF('[1]Revenue and Expense Detail-CLS'!$D$8:$D$238,"GEN-9700",'[1]Revenue and Expense Detail-CLS'!$E$8:$E$238)</f>
        <v>0</v>
      </c>
      <c r="F50" s="11">
        <f>SUMIF('[1]Revenue and Expense Detail-CLS'!$D$8:$D$238,"GEN-9700",'[1]Revenue and Expense Detail-CLS'!$H$8:$H$238)</f>
        <v>0</v>
      </c>
      <c r="G50" s="11"/>
      <c r="H50" s="24" t="str">
        <f>IF(G50=0,"",F50/G50)</f>
        <v/>
      </c>
      <c r="I50" s="11"/>
      <c r="J50" s="11">
        <f>SUMIF('[1]Revenue and Expense Detail-CLS'!$D$8:$D$238,"SPR-9700",'[1]Revenue and Expense Detail-CLS'!$E$8:$E$238)</f>
        <v>0</v>
      </c>
      <c r="K50" s="11">
        <f>SUMIF('[1]Revenue and Expense Detail-CLS'!$D$8:$D$238,"SPR-9700",'[1]Revenue and Expense Detail-CLS'!$H$8:$H$238)</f>
        <v>0</v>
      </c>
      <c r="L50" s="11"/>
      <c r="M50" s="24" t="str">
        <f>IF(L50=0,"",K50/L50)</f>
        <v/>
      </c>
      <c r="N50" s="11"/>
      <c r="O50" s="11">
        <f>SUMIF('[1]Revenue and Expense Detail-CLS'!$D$8:$D$238,"DES-9700",'[1]Revenue and Expense Detail-CLS'!$E$8:$E$238)</f>
        <v>0</v>
      </c>
      <c r="P50" s="11">
        <f>SUMIF('[1]Revenue and Expense Detail-CLS'!$D$8:$D$238,"DES-9700",'[1]Revenue and Expense Detail-CLS'!$H$8:$H$238)</f>
        <v>0</v>
      </c>
      <c r="Q50" s="11"/>
      <c r="R50" s="24" t="str">
        <f>IF(Q50=0,"",P50/Q50)</f>
        <v/>
      </c>
      <c r="S50" s="11"/>
      <c r="T50" s="11">
        <f>SUMIF('[1]Revenue and Expense Detail-CLS'!$D$8:$D$238,"CAO-9700",'[1]Revenue and Expense Detail-CLS'!$E$8:$E$238)</f>
        <v>0</v>
      </c>
      <c r="U50" s="11">
        <f>SUMIF('[1]Revenue and Expense Detail-CLS'!$D$8:$D$238,"CAO-9700",'[1]Revenue and Expense Detail-CLS'!$H$8:$H$238)</f>
        <v>0</v>
      </c>
      <c r="V50" s="11"/>
      <c r="W50" s="24" t="str">
        <f>IF(V50=0,"",U50/V50)</f>
        <v/>
      </c>
      <c r="X50" s="11"/>
      <c r="Y50" s="37">
        <f t="shared" si="14"/>
        <v>0</v>
      </c>
      <c r="Z50" s="37">
        <f t="shared" si="14"/>
        <v>0</v>
      </c>
      <c r="AA50" s="37">
        <f t="shared" si="14"/>
        <v>0</v>
      </c>
      <c r="AB50" s="24" t="str">
        <f>IF(AA50=0,"",Z50/AA50)</f>
        <v/>
      </c>
    </row>
    <row r="51" spans="1:28" ht="27.75" customHeight="1" x14ac:dyDescent="0.25">
      <c r="A51" s="7" t="s">
        <v>90</v>
      </c>
      <c r="E51" s="16">
        <f>SUM(E48:E50)</f>
        <v>0</v>
      </c>
      <c r="F51" s="16">
        <f>SUM(F48:F50)</f>
        <v>0</v>
      </c>
      <c r="G51" s="16"/>
      <c r="H51" s="38" t="str">
        <f>IF(G51=0,"",F51/G51)</f>
        <v/>
      </c>
      <c r="I51" s="11"/>
      <c r="J51" s="16">
        <f>SUM(J48:J50)</f>
        <v>0</v>
      </c>
      <c r="K51" s="16">
        <f>SUM(K48:K50)</f>
        <v>0</v>
      </c>
      <c r="L51" s="16"/>
      <c r="M51" s="38" t="str">
        <f>IF(L51=0,"",K51/L51)</f>
        <v/>
      </c>
      <c r="N51" s="11"/>
      <c r="O51" s="16">
        <f>SUM(O48:O50)</f>
        <v>0</v>
      </c>
      <c r="P51" s="16">
        <f>SUM(P48:P50)</f>
        <v>0</v>
      </c>
      <c r="Q51" s="16"/>
      <c r="R51" s="38" t="str">
        <f>IF(Q51=0,"",P51/Q51)</f>
        <v/>
      </c>
      <c r="S51" s="11"/>
      <c r="T51" s="16">
        <f>SUM(T48:T50)</f>
        <v>0</v>
      </c>
      <c r="U51" s="16">
        <f>SUM(U48:U50)</f>
        <v>0</v>
      </c>
      <c r="V51" s="16"/>
      <c r="W51" s="38" t="str">
        <f>IF(V51=0,"",U51/V51)</f>
        <v/>
      </c>
      <c r="X51" s="11"/>
      <c r="Y51" s="16">
        <f>SUM(Y48:Y50)</f>
        <v>0</v>
      </c>
      <c r="Z51" s="16">
        <f>SUM(Z48:Z50)</f>
        <v>0</v>
      </c>
      <c r="AA51" s="16">
        <f>SUM(AA48:AA50)</f>
        <v>0</v>
      </c>
      <c r="AB51" s="38" t="str">
        <f>IF(AA51=0,"",Z51/AA51)</f>
        <v/>
      </c>
    </row>
    <row r="52" spans="1:28" x14ac:dyDescent="0.2">
      <c r="E52" s="11"/>
      <c r="F52" s="11"/>
      <c r="G52" s="11"/>
      <c r="H52" s="24"/>
      <c r="I52" s="11"/>
      <c r="J52" s="11"/>
      <c r="K52" s="11"/>
      <c r="L52" s="11"/>
      <c r="M52" s="24"/>
      <c r="N52" s="11"/>
      <c r="O52" s="11"/>
      <c r="P52" s="11"/>
      <c r="Q52" s="11"/>
      <c r="R52" s="24"/>
      <c r="S52" s="11"/>
      <c r="T52" s="11"/>
      <c r="U52" s="11"/>
      <c r="V52" s="11"/>
      <c r="W52" s="24"/>
      <c r="X52" s="11"/>
      <c r="Y52" s="11"/>
      <c r="Z52" s="11"/>
      <c r="AA52" s="11"/>
      <c r="AB52" s="24"/>
    </row>
    <row r="53" spans="1:28" ht="15.75" x14ac:dyDescent="0.25">
      <c r="A53" s="7" t="s">
        <v>91</v>
      </c>
      <c r="E53" s="11">
        <f>E45+E51</f>
        <v>-22411.670000000013</v>
      </c>
      <c r="F53" s="11">
        <f>F45+F51</f>
        <v>-8556.75</v>
      </c>
      <c r="G53" s="11">
        <f>G45</f>
        <v>-8405.6953401225619</v>
      </c>
      <c r="H53" s="24">
        <f>IF(G53=0,"",F53/G53)</f>
        <v>1.017970513296671</v>
      </c>
      <c r="I53" s="11"/>
      <c r="J53" s="11">
        <f>J45+J51</f>
        <v>0</v>
      </c>
      <c r="K53" s="11">
        <f>K45+K51</f>
        <v>0</v>
      </c>
      <c r="L53" s="11">
        <f>L45</f>
        <v>25000</v>
      </c>
      <c r="M53" s="24">
        <f>IF(L53=0,"",K53/L53)</f>
        <v>0</v>
      </c>
      <c r="N53" s="11"/>
      <c r="O53" s="11">
        <f>O45</f>
        <v>0</v>
      </c>
      <c r="P53" s="11">
        <f>P45</f>
        <v>0</v>
      </c>
      <c r="Q53" s="11"/>
      <c r="R53" s="24" t="str">
        <f>IF(Q53=0,"",P53/Q53)</f>
        <v/>
      </c>
      <c r="S53" s="11"/>
      <c r="T53" s="11">
        <f>T45+T51</f>
        <v>1211.3599999999999</v>
      </c>
      <c r="U53" s="11">
        <f>U45+U51</f>
        <v>6090.8</v>
      </c>
      <c r="V53" s="11">
        <f>V45</f>
        <v>12520.32</v>
      </c>
      <c r="W53" s="24">
        <f>IF(V53=0,"",U53/V53)</f>
        <v>0.48647318918366306</v>
      </c>
      <c r="X53" s="11"/>
      <c r="Y53" s="11">
        <f>Y45+Y51</f>
        <v>-21200.310000000012</v>
      </c>
      <c r="Z53" s="11">
        <f>Z45+Z51</f>
        <v>-2465.9500000000116</v>
      </c>
      <c r="AA53" s="11">
        <f>AA45+AA51</f>
        <v>29114.624659877503</v>
      </c>
      <c r="AB53" s="24">
        <f>IF(AA53=0,"",Z53/AA53)</f>
        <v>-8.4697983532595778E-2</v>
      </c>
    </row>
    <row r="54" spans="1:28" ht="15.75" thickBot="1" x14ac:dyDescent="0.25">
      <c r="A54" s="2" t="s">
        <v>92</v>
      </c>
      <c r="E54" s="42">
        <v>684232.87</v>
      </c>
      <c r="F54" s="11">
        <v>675718.96</v>
      </c>
      <c r="G54" s="11">
        <v>0</v>
      </c>
      <c r="H54" s="24" t="str">
        <f>IF(G54=0,"",F54/G54)</f>
        <v/>
      </c>
      <c r="I54" s="11"/>
      <c r="J54" s="11">
        <v>0</v>
      </c>
      <c r="K54" s="11">
        <v>0</v>
      </c>
      <c r="L54" s="11"/>
      <c r="M54" s="24" t="str">
        <f>IF(L54=0,"",K54/L54)</f>
        <v/>
      </c>
      <c r="N54" s="11"/>
      <c r="O54" s="11"/>
      <c r="P54" s="11"/>
      <c r="Q54" s="11"/>
      <c r="R54" s="24" t="str">
        <f>IF(Q54=0,"",P54/Q54)</f>
        <v/>
      </c>
      <c r="S54" s="11"/>
      <c r="T54" s="42">
        <v>4879.4399999999996</v>
      </c>
      <c r="U54" s="11">
        <v>0</v>
      </c>
      <c r="V54" s="11">
        <v>0</v>
      </c>
      <c r="W54" s="24" t="str">
        <f>IF(V54=0,"",U54/V54)</f>
        <v/>
      </c>
      <c r="X54" s="11"/>
      <c r="Y54" s="37">
        <f t="shared" ref="Y54:AA55" si="15">E54+J54+O54+T54</f>
        <v>689112.30999999994</v>
      </c>
      <c r="Z54" s="37">
        <f t="shared" si="15"/>
        <v>675718.96</v>
      </c>
      <c r="AA54" s="37">
        <f t="shared" si="15"/>
        <v>0</v>
      </c>
      <c r="AB54" s="24" t="str">
        <f>IF(AA54=0,"",Z54/AA54)</f>
        <v/>
      </c>
    </row>
    <row r="55" spans="1:28" ht="15.75" thickTop="1" x14ac:dyDescent="0.2">
      <c r="A55" s="2" t="s">
        <v>93</v>
      </c>
      <c r="E55" s="11"/>
      <c r="F55" s="11">
        <v>-5341.01</v>
      </c>
      <c r="G55" s="11"/>
      <c r="H55" s="24" t="str">
        <f>IF(G55=0,"",F55/G55)</f>
        <v/>
      </c>
      <c r="I55" s="11"/>
      <c r="J55" s="11"/>
      <c r="K55" s="11"/>
      <c r="L55" s="11"/>
      <c r="M55" s="24" t="str">
        <f>IF(L55=0,"",K55/L55)</f>
        <v/>
      </c>
      <c r="N55" s="11"/>
      <c r="O55" s="11"/>
      <c r="P55" s="11"/>
      <c r="Q55" s="11"/>
      <c r="R55" s="24" t="str">
        <f>IF(Q55=0,"",P55/Q55)</f>
        <v/>
      </c>
      <c r="S55" s="11"/>
      <c r="T55" s="11"/>
      <c r="U55" s="11"/>
      <c r="V55" s="11"/>
      <c r="W55" s="24" t="str">
        <f>IF(V55=0,"",U55/V55)</f>
        <v/>
      </c>
      <c r="X55" s="11"/>
      <c r="Y55" s="37">
        <f t="shared" si="15"/>
        <v>0</v>
      </c>
      <c r="Z55" s="37">
        <f>F55+K55+P55+U55</f>
        <v>-5341.01</v>
      </c>
      <c r="AA55" s="37">
        <f t="shared" si="15"/>
        <v>0</v>
      </c>
      <c r="AB55" s="24" t="str">
        <f>IF(AA55=0,"",Z55/AA55)</f>
        <v/>
      </c>
    </row>
    <row r="56" spans="1:28" ht="17.45" customHeight="1" x14ac:dyDescent="0.25">
      <c r="A56" s="7" t="s">
        <v>94</v>
      </c>
      <c r="E56" s="16">
        <f>SUM(E54:E55)</f>
        <v>684232.87</v>
      </c>
      <c r="F56" s="16">
        <f>SUM(F54:F55)</f>
        <v>670377.94999999995</v>
      </c>
      <c r="G56" s="16">
        <f>SUM(G54:G55)</f>
        <v>0</v>
      </c>
      <c r="H56" s="38" t="str">
        <f>IF(G56=0,"",F56/G56)</f>
        <v/>
      </c>
      <c r="I56" s="11"/>
      <c r="J56" s="16">
        <f>SUM(J54:J55)</f>
        <v>0</v>
      </c>
      <c r="K56" s="16">
        <f>SUM(K54:K55)</f>
        <v>0</v>
      </c>
      <c r="L56" s="16">
        <f>SUM(L54:L55)</f>
        <v>0</v>
      </c>
      <c r="M56" s="38" t="str">
        <f>IF(L56=0,"",K56/L56)</f>
        <v/>
      </c>
      <c r="N56" s="11"/>
      <c r="O56" s="16">
        <f>SUM(O54:O55)</f>
        <v>0</v>
      </c>
      <c r="P56" s="16">
        <f>SUM(P54:P55)</f>
        <v>0</v>
      </c>
      <c r="Q56" s="16">
        <f>SUM(Q54:Q55)</f>
        <v>0</v>
      </c>
      <c r="R56" s="38" t="str">
        <f>IF(Q56=0,"",P56/Q56)</f>
        <v/>
      </c>
      <c r="S56" s="11"/>
      <c r="T56" s="16">
        <f>SUM(T54:T55)</f>
        <v>4879.4399999999996</v>
      </c>
      <c r="U56" s="16">
        <f>SUM(U54:U55)</f>
        <v>0</v>
      </c>
      <c r="V56" s="16">
        <f>SUM(V54:V55)</f>
        <v>0</v>
      </c>
      <c r="W56" s="38" t="str">
        <f>IF(V56=0,"",U56/V56)</f>
        <v/>
      </c>
      <c r="X56" s="11"/>
      <c r="Y56" s="16">
        <f>SUM(Y54:Y55)</f>
        <v>689112.30999999994</v>
      </c>
      <c r="Z56" s="16">
        <f>SUM(Z54:Z55)</f>
        <v>670377.94999999995</v>
      </c>
      <c r="AA56" s="16">
        <f>SUM(AA54:AA55)</f>
        <v>0</v>
      </c>
      <c r="AB56" s="38" t="str">
        <f>IF(AA56=0,"",Z56/AA56)</f>
        <v/>
      </c>
    </row>
    <row r="57" spans="1:28" ht="6.75" customHeight="1" x14ac:dyDescent="0.2">
      <c r="E57" s="11"/>
      <c r="F57" s="11"/>
      <c r="G57" s="11"/>
      <c r="H57" s="24"/>
      <c r="I57" s="11"/>
      <c r="J57" s="11"/>
      <c r="K57" s="11"/>
      <c r="L57" s="11"/>
      <c r="M57" s="24"/>
      <c r="N57" s="11"/>
      <c r="O57" s="11"/>
      <c r="P57" s="11"/>
      <c r="Q57" s="11"/>
      <c r="R57" s="24"/>
      <c r="S57" s="11"/>
      <c r="T57" s="11"/>
      <c r="U57" s="11"/>
      <c r="V57" s="11"/>
      <c r="W57" s="24"/>
      <c r="X57" s="11"/>
      <c r="Y57" s="11"/>
      <c r="Z57" s="11"/>
      <c r="AA57" s="11"/>
      <c r="AB57" s="24"/>
    </row>
    <row r="58" spans="1:28" ht="16.5" thickBot="1" x14ac:dyDescent="0.3">
      <c r="A58" s="7" t="s">
        <v>95</v>
      </c>
      <c r="E58" s="42">
        <f>E56+E53</f>
        <v>661821.19999999995</v>
      </c>
      <c r="F58" s="42">
        <f>F56+F53</f>
        <v>661821.19999999995</v>
      </c>
      <c r="G58" s="42">
        <f>G56+G53</f>
        <v>-8405.6953401225619</v>
      </c>
      <c r="H58" s="43">
        <f>IF(G58=0,"%",F58/G58)</f>
        <v>-78.734854550456504</v>
      </c>
      <c r="I58" s="11"/>
      <c r="J58" s="42">
        <f>J56+J53</f>
        <v>0</v>
      </c>
      <c r="K58" s="42">
        <f>K56+K53</f>
        <v>0</v>
      </c>
      <c r="L58" s="42">
        <f>L56+L53</f>
        <v>25000</v>
      </c>
      <c r="M58" s="43">
        <f>IF(L58=0,"%",K58/L58)</f>
        <v>0</v>
      </c>
      <c r="N58" s="11"/>
      <c r="O58" s="42">
        <f>O56+O53</f>
        <v>0</v>
      </c>
      <c r="P58" s="42">
        <f>P56+P53</f>
        <v>0</v>
      </c>
      <c r="Q58" s="42">
        <f>Q56+Q53</f>
        <v>0</v>
      </c>
      <c r="R58" s="43" t="str">
        <f>IF(Q58=0,"%",P58/Q58)</f>
        <v>%</v>
      </c>
      <c r="S58" s="11"/>
      <c r="T58" s="42">
        <f>T56+T53</f>
        <v>6090.7999999999993</v>
      </c>
      <c r="U58" s="42">
        <f>U56+U53</f>
        <v>6090.8</v>
      </c>
      <c r="V58" s="42">
        <f>V56+V53</f>
        <v>12520.32</v>
      </c>
      <c r="W58" s="43">
        <f>IF(V58=0,"%",U58/V58)</f>
        <v>0.48647318918366306</v>
      </c>
      <c r="X58" s="11"/>
      <c r="Y58" s="42">
        <f>Y56+Y53</f>
        <v>667911.99999999988</v>
      </c>
      <c r="Z58" s="42">
        <f>Z56+Z53</f>
        <v>667912</v>
      </c>
      <c r="AA58" s="42">
        <f>AA56+AA53</f>
        <v>29114.624659877503</v>
      </c>
      <c r="AB58" s="43">
        <f>IF(AA58=0,"%",Z58/AA58)</f>
        <v>22.94077316134668</v>
      </c>
    </row>
    <row r="59" spans="1:28" ht="16.5" hidden="1" thickTop="1" x14ac:dyDescent="0.25">
      <c r="A59" s="7"/>
      <c r="E59" s="44"/>
      <c r="F59" s="44"/>
      <c r="G59" s="44"/>
      <c r="H59" s="45"/>
      <c r="I59" s="11"/>
      <c r="J59" s="44"/>
      <c r="K59" s="44"/>
      <c r="L59" s="44"/>
      <c r="M59" s="45"/>
      <c r="N59" s="11"/>
      <c r="O59" s="44"/>
      <c r="P59" s="44"/>
      <c r="Q59" s="44"/>
      <c r="R59" s="45"/>
      <c r="S59" s="11"/>
      <c r="T59" s="44"/>
      <c r="U59" s="44"/>
      <c r="V59" s="44"/>
      <c r="W59" s="45"/>
      <c r="X59" s="11"/>
      <c r="Y59" s="44"/>
      <c r="Z59" s="44"/>
      <c r="AA59" s="44"/>
      <c r="AB59" s="45"/>
    </row>
    <row r="60" spans="1:28" ht="15.75" hidden="1" thickTop="1" x14ac:dyDescent="0.2">
      <c r="E60" s="15"/>
      <c r="F60" s="15">
        <f>+F58-E58</f>
        <v>0</v>
      </c>
      <c r="Z60" s="15">
        <f>+Z58-Y58</f>
        <v>0</v>
      </c>
    </row>
    <row r="61" spans="1:28" ht="15.75" hidden="1" thickTop="1" x14ac:dyDescent="0.2">
      <c r="E61" s="15"/>
    </row>
    <row r="62" spans="1:28" ht="15.75" hidden="1" thickTop="1" x14ac:dyDescent="0.2"/>
    <row r="63" spans="1:28" ht="15.75" hidden="1" thickTop="1" x14ac:dyDescent="0.2"/>
    <row r="64" spans="1:28" ht="15.75" hidden="1" thickTop="1" x14ac:dyDescent="0.2"/>
    <row r="65" s="2" customFormat="1" ht="15.75" hidden="1" thickTop="1" x14ac:dyDescent="0.2"/>
    <row r="66" s="2" customFormat="1" ht="15.75" hidden="1" thickTop="1" x14ac:dyDescent="0.2"/>
    <row r="67" s="2" customFormat="1" ht="15.75" hidden="1" thickTop="1" x14ac:dyDescent="0.2"/>
    <row r="68" s="2" customFormat="1" ht="15.75" hidden="1" thickTop="1" x14ac:dyDescent="0.2"/>
    <row r="69" s="2" customFormat="1" ht="15.75" thickTop="1" x14ac:dyDescent="0.2"/>
  </sheetData>
  <mergeCells count="9">
    <mergeCell ref="O9:R9"/>
    <mergeCell ref="T9:W9"/>
    <mergeCell ref="Y9:AB9"/>
    <mergeCell ref="A1:L1"/>
    <mergeCell ref="A2:L2"/>
    <mergeCell ref="A3:L3"/>
    <mergeCell ref="A4:L4"/>
    <mergeCell ref="E9:H9"/>
    <mergeCell ref="J9:M9"/>
  </mergeCells>
  <pageMargins left="0.7" right="0.45" top="0.5" bottom="0.5" header="0.3" footer="0.3"/>
  <pageSetup scale="54" orientation="landscape" r:id="rId1"/>
  <colBreaks count="1" manualBreakCount="1">
    <brk id="14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Dist BS</vt:lpstr>
      <vt:lpstr>Dist RE</vt:lpstr>
      <vt:lpstr>'Dist RE'!Print_Area</vt:lpstr>
      <vt:lpstr>'Dist RE'!Print_Titles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Tayler Amerson</dc:creator>
  <cp:lastModifiedBy>Tayler Amerson</cp:lastModifiedBy>
  <dcterms:created xsi:type="dcterms:W3CDTF">2023-12-20T22:49:24Z</dcterms:created>
  <dcterms:modified xsi:type="dcterms:W3CDTF">2023-12-20T23:14:51Z</dcterms:modified>
</cp:coreProperties>
</file>